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7"/>
  </bookViews>
  <sheets>
    <sheet name="ГУ АО (пит.вода)" sheetId="1" r:id="rId1"/>
    <sheet name="ГУ ВО (тех.вода)" sheetId="2" r:id="rId2"/>
    <sheet name="ГУ ВО" sheetId="3" r:id="rId3"/>
    <sheet name="ГУ КО" sheetId="4" r:id="rId4"/>
    <sheet name="ХВС ТЭЦ-3_2012" sheetId="5" r:id="rId5"/>
    <sheet name="ХВС ЛК_2012" sheetId="6" r:id="rId6"/>
    <sheet name="ВО ТЭЦ-2_2012" sheetId="7" r:id="rId7"/>
    <sheet name="ХВС ТЭЦ-1_2012" sheetId="8" r:id="rId8"/>
    <sheet name="ВО ТЭЦ-3_2012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<sst xmlns="http://schemas.openxmlformats.org/spreadsheetml/2006/main" count="1405" uniqueCount="291">
  <si>
    <t>Вид регулируемой деятельности</t>
  </si>
  <si>
    <t>ТЭЦ-1</t>
  </si>
  <si>
    <t>ТЭЦ-2</t>
  </si>
  <si>
    <t>Форма 2.7 Информация об основных показателях финансово-хозяйственной</t>
  </si>
  <si>
    <t>тариф</t>
  </si>
  <si>
    <t>объем энергии</t>
  </si>
  <si>
    <t xml:space="preserve"> Выручка по регулируемым видам деятельности (тыс. рублей)                  </t>
  </si>
  <si>
    <t xml:space="preserve">Себестоимость   производимых   товаров(оказываемых услуг) (тыс. рублей), в том числе:         </t>
  </si>
  <si>
    <t>2.1.</t>
  </si>
  <si>
    <t>2.2.</t>
  </si>
  <si>
    <t>2.2.2.</t>
  </si>
  <si>
    <t>2.2.1.</t>
  </si>
  <si>
    <t>2.3.</t>
  </si>
  <si>
    <t>2.4.</t>
  </si>
  <si>
    <t xml:space="preserve"> расходы на химические реагенты, используемые в технологическом процессе</t>
  </si>
  <si>
    <t xml:space="preserve"> расходы на оплату труда и отчисления на социальные нужды основного производственного персонала</t>
  </si>
  <si>
    <t>2.5.</t>
  </si>
  <si>
    <t>2.6.</t>
  </si>
  <si>
    <t>2.7.</t>
  </si>
  <si>
    <t>2.8.</t>
  </si>
  <si>
    <t>2.9.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</si>
  <si>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</si>
  <si>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</si>
  <si>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 xml:space="preserve"> расходы на аренду имущества, используемого для осуществления регулируемого вида деятельности</t>
  </si>
  <si>
    <t>общехозяйственные расходы, в том числе отнесенные к ним расходы на текущий и капитальный ремонт</t>
  </si>
  <si>
    <t>2.10.</t>
  </si>
  <si>
    <t>2.11.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</si>
  <si>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</si>
  <si>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</t>
  </si>
  <si>
    <t>1.</t>
  </si>
  <si>
    <t>2.</t>
  </si>
  <si>
    <t>3.</t>
  </si>
  <si>
    <t>4.</t>
  </si>
  <si>
    <t>5.</t>
  </si>
  <si>
    <t>6.</t>
  </si>
  <si>
    <t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</si>
  <si>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</si>
  <si>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Валовая прибыль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</si>
  <si>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</si>
  <si>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</si>
  <si>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</si>
  <si>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</si>
  <si>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</si>
  <si>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</si>
  <si>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</si>
  <si>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</si>
  <si>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</si>
  <si>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</si>
  <si>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</si>
  <si>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</si>
  <si>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</t>
  </si>
  <si>
    <t>Объем отпущенной потребителям воды, определенном по приборам учета и расчетным путем (по нормативам потребления) (тыс. куб. метров)</t>
  </si>
  <si>
    <t xml:space="preserve"> Потери воды в сетях (процентов)</t>
  </si>
  <si>
    <t>Среднесписочная численность основного производственного персонала (человек)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</si>
  <si>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</si>
  <si>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×</t>
  </si>
  <si>
    <t>Удельный расход электроэнергии на подачу воды в сеть (кВт·ч/куб.метр)</t>
  </si>
  <si>
    <t>Расход воды на собственные (в том числе хозяйственно-бытовые) нужды (тыс.куб.метр)</t>
  </si>
  <si>
    <t xml:space="preserve">деятельности Костромской ТЭЦ-1, Костромской ТЭЦ-2 ОАО "ТГК-2" на территории Костромской области </t>
  </si>
  <si>
    <t>за 2012 год</t>
  </si>
  <si>
    <t xml:space="preserve">расходы на покупаемую электрическую энергию (мощность), используемую в технологическом процессе </t>
  </si>
  <si>
    <t>общепроизводственные (цеховые) расходы,в том числе расходы на текущий и капитальный ремонт;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</si>
  <si>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</si>
  <si>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оплату холодной воды, приобретаемой у других организаций для последующей подачи потребителям</t>
  </si>
  <si>
    <t>2.12.</t>
  </si>
  <si>
    <t>деятельности ГУ по Вологодской области</t>
  </si>
  <si>
    <t>ВТЭЦ</t>
  </si>
  <si>
    <t>Форма 2.7.</t>
  </si>
  <si>
    <t xml:space="preserve"> Информация об основных
показателях финансово-хозяйственной деятельности
ГУ ОАО "ТГК-2" по Архангельской области
холодная (питьевая) вода, отпускаемая Северодвинскими ТЭЦ</t>
  </si>
  <si>
    <t>№ пп</t>
  </si>
  <si>
    <t>Наименование</t>
  </si>
  <si>
    <t>Единицы измерения</t>
  </si>
  <si>
    <t>2012 год факт</t>
  </si>
  <si>
    <t>Северодвинская ТЭЦ-1</t>
  </si>
  <si>
    <t>Северодвинская ТЭЦ-2</t>
  </si>
  <si>
    <t xml:space="preserve">Выручка по регулируемым видам деятельности </t>
  </si>
  <si>
    <t>руб.</t>
  </si>
  <si>
    <t xml:space="preserve"> Себестоимость   производимых   товаров(оказываемых услуг), в том числе:         </t>
  </si>
  <si>
    <t xml:space="preserve"> расходы на оплату холодной воды, приобретаемой у других организаций для последующей подачи потребителям</t>
  </si>
  <si>
    <t xml:space="preserve"> расходы на покупаемую электрическую энергию (мощность), используемую в технологическом процессе </t>
  </si>
  <si>
    <t>средневзвешенная стоимости 1 кВт·ч</t>
  </si>
  <si>
    <t>руб./кВтч</t>
  </si>
  <si>
    <t>объем потребленой электрической энергии</t>
  </si>
  <si>
    <t>кВтч</t>
  </si>
  <si>
    <t>расходы на химические реагенты, используемые в технологическом процессе</t>
  </si>
  <si>
    <t xml:space="preserve"> расходы на оплату труда и отчисления на социальные нужды административно-управленческого персонала</t>
  </si>
  <si>
    <t xml:space="preserve"> расходы на амортизацию основных производственных средств</t>
  </si>
  <si>
    <t xml:space="preserve"> общепроизводственные расходы, в том числе расходы на текущий и капитальный ремонт;</t>
  </si>
  <si>
    <t xml:space="preserve"> общехозяйственные расходы, в том числе отнесенные к ним расходы на текущий и капитальный ремонт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</si>
  <si>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</si>
  <si>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 xml:space="preserve">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</t>
  </si>
  <si>
    <t xml:space="preserve"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</t>
  </si>
  <si>
    <t xml:space="preserve"> Сведения об изменении стоимости основных фондов (в том числе за счет ввода в эксплуатацию (вывода из эксплуатации), их переоценки </t>
  </si>
  <si>
    <t xml:space="preserve"> Валовая прибыль от продажи товаров и услуг по регулируемому виду деятельности </t>
  </si>
  <si>
    <t xml:space="preserve">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</si>
  <si>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Объем поднятой воды </t>
  </si>
  <si>
    <t>тыс. куб. метров</t>
  </si>
  <si>
    <t xml:space="preserve"> Объем покупной воды </t>
  </si>
  <si>
    <t xml:space="preserve"> Объем воды, пропущенной через очистные сооружения</t>
  </si>
  <si>
    <t xml:space="preserve"> Объем отпущенной потребителям воды, определенном по приборам учета и расчетным путем (по нормативам потребления) </t>
  </si>
  <si>
    <t xml:space="preserve">Потери воды в сетях </t>
  </si>
  <si>
    <t>%</t>
  </si>
  <si>
    <t xml:space="preserve"> Среднесписочная численность основного производственного персонала</t>
  </si>
  <si>
    <t>чел.</t>
  </si>
  <si>
    <t xml:space="preserve"> Удельный расход электроэнергии на подачу воды в сеть </t>
  </si>
  <si>
    <r>
      <t>кВтч/м</t>
    </r>
    <r>
      <rPr>
        <vertAlign val="superscript"/>
        <sz val="11"/>
        <color indexed="8"/>
        <rFont val="Times New Roman"/>
        <family val="1"/>
      </rPr>
      <t>3</t>
    </r>
  </si>
  <si>
    <t xml:space="preserve"> Расход воды на собственные (в том числе хозяйственно-бытовые) нужды </t>
  </si>
  <si>
    <t>Процент объема отпуска воды потребителям</t>
  </si>
  <si>
    <t>16.</t>
  </si>
  <si>
    <t xml:space="preserve"> Показатель использования производственных объектов (по объему перекачки) по отношению к пиковому дню отчетного года </t>
  </si>
  <si>
    <t xml:space="preserve"> Информация об основных
показателях финансово-хозяйственной деятельности
ГУ ОАО "ТГК-2" по Архангельской области
холодная (техническая) вода, отпускаемая Архангельской ТЭЦ</t>
  </si>
  <si>
    <t>Значение</t>
  </si>
  <si>
    <t>Информация об основных показателях финансово-хозяйственной деятельности                                                         Главного управления ОАО "ТГК-2" по Ярославской области (Ярославская ТЭЦ-3)                                                        в части регулируемой деятельности (водоснабжение питьевой водой),                                                                                              за 2012 год.</t>
  </si>
  <si>
    <t>№ п/п</t>
  </si>
  <si>
    <t>Наименование показателя</t>
  </si>
  <si>
    <t>Единица измерения</t>
  </si>
  <si>
    <t>ФАКТ 2012 ГОДА</t>
  </si>
  <si>
    <t>1</t>
  </si>
  <si>
    <t>x</t>
  </si>
  <si>
    <t>Водоснабжение питьевой водой</t>
  </si>
  <si>
    <t>2</t>
  </si>
  <si>
    <t>Выручка всего</t>
  </si>
  <si>
    <t>тыс.руб.</t>
  </si>
  <si>
    <t>2.1</t>
  </si>
  <si>
    <t>НВВ от регулируемой деятельности</t>
  </si>
  <si>
    <t>2.2</t>
  </si>
  <si>
    <t>Недополученный НВВ к возмещению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</si>
  <si>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</si>
  <si>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</si>
  <si>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</si>
  <si>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</si>
  <si>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</si>
  <si>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</si>
  <si>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</si>
  <si>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</si>
  <si>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</si>
  <si>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</si>
  <si>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</si>
  <si>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</si>
  <si>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</si>
  <si>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3.2.2</t>
  </si>
  <si>
    <t>Объем приобретенной электрической энергии</t>
  </si>
  <si>
    <t>тыс.кВт*ч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</si>
  <si>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</si>
  <si>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</si>
  <si>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</si>
  <si>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</si>
  <si>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</si>
  <si>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</si>
  <si>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</si>
  <si>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</si>
  <si>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</si>
  <si>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</si>
  <si>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</si>
  <si>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</si>
  <si>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</si>
  <si>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</si>
  <si>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</si>
  <si>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</si>
  <si>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</si>
  <si>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</si>
  <si>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</si>
  <si>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</si>
  <si>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</si>
  <si>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</si>
  <si>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</si>
  <si>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</si>
  <si>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</si>
  <si>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</si>
  <si>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</si>
  <si>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</si>
  <si>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</si>
  <si>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</si>
  <si>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</si>
  <si>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</si>
  <si>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</si>
  <si>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</si>
  <si>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</si>
  <si>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</si>
  <si>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</si>
  <si>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</si>
  <si>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</si>
  <si>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3.9.3</t>
  </si>
  <si>
    <t>Охрана труда</t>
  </si>
  <si>
    <t>3.9.4</t>
  </si>
  <si>
    <t>Налог на имущество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</si>
  <si>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</si>
  <si>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</si>
  <si>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</si>
  <si>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</si>
  <si>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</si>
  <si>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</si>
  <si>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</si>
  <si>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</si>
  <si>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</si>
  <si>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</si>
  <si>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</si>
  <si>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</si>
  <si>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</si>
  <si>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</si>
  <si>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3.11.4</t>
  </si>
  <si>
    <t>Отчисления на соц. нужды от заработной платы ремонтного персонала</t>
  </si>
  <si>
    <t>3.11.5</t>
  </si>
  <si>
    <t>материалы на ремонт и тех.обслуживание хоз. способом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</si>
  <si>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</si>
  <si>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</si>
  <si>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</si>
  <si>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</si>
  <si>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</si>
  <si>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</si>
  <si>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</si>
  <si>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</si>
  <si>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</si>
  <si>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</si>
  <si>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</si>
  <si>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</si>
  <si>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</si>
  <si>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</si>
  <si>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</si>
  <si>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</si>
  <si>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</si>
  <si>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</si>
  <si>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7.1</t>
  </si>
  <si>
    <t>7.2</t>
  </si>
  <si>
    <t>8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</si>
  <si>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</si>
  <si>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</si>
  <si>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</si>
  <si>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</si>
  <si>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</si>
  <si>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</si>
  <si>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</si>
  <si>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 (от забора воды), в том числе:</t>
  </si>
  <si>
    <t>10.1</t>
  </si>
  <si>
    <t>Нормативные</t>
  </si>
  <si>
    <t>10.2</t>
  </si>
  <si>
    <t>Фактические (разница между забором и реализацией)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</si>
  <si>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</si>
  <si>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</si>
  <si>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</si>
  <si>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</si>
  <si>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</si>
  <si>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</si>
  <si>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</si>
  <si>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</si>
  <si>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</si>
  <si>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15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</si>
  <si>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</si>
  <si>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</si>
  <si>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</si>
  <si>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</si>
  <si>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</si>
  <si>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</si>
  <si>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</si>
  <si>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</si>
  <si>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16</t>
  </si>
  <si>
    <t>Расход воды на собственные нужды</t>
  </si>
  <si>
    <t>16.1</t>
  </si>
  <si>
    <t>в том числе хозяйственно-бытовые</t>
  </si>
  <si>
    <t>17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</si>
  <si>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</si>
  <si>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                                                        Главного управления ОАО "ТГК-2" по Ярославской области (Ляпинская котельная)                                                        в части регулируемой деятельности (водоснабжение технической  водой),                                                                                              за 2012 год.</t>
  </si>
  <si>
    <t>Водоснабжение технической водой</t>
  </si>
  <si>
    <t>3.8.3</t>
  </si>
  <si>
    <t>3.9.5</t>
  </si>
  <si>
    <t>Начисление платы за водопользование</t>
  </si>
  <si>
    <t>3.9.6</t>
  </si>
  <si>
    <t>Услуги связи</t>
  </si>
  <si>
    <t>Информация об основных показателях финансово-хозяйственной деятельности                                                         Главного управления ОАО "ТГК-2" по Ярославской области (Ярославская ТЭЦ-2)                                                        в части регулируемой деятельности (водоотведение сточных вод),                                                                                              за 2012 год.</t>
  </si>
  <si>
    <t>Водоотведение</t>
  </si>
  <si>
    <t>Расходы на оплату услуг по перекачке и очистке сточных вод другими организациями</t>
  </si>
  <si>
    <t>Водный налог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</si>
  <si>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</si>
  <si>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</si>
  <si>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</si>
  <si>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</si>
  <si>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</si>
  <si>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</si>
  <si>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</si>
  <si>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</si>
  <si>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чел</t>
  </si>
  <si>
    <t>Информация об основных показателях финансово-хозяйственной деятельности                                                         Главного управления ОАО "ТГК-2" по Ярославской области (Ярославская ТЭЦ-1)                                                        в части регулируемой деятельности (водоснабжение технической  водой),                                                                                              за 2012 год.</t>
  </si>
  <si>
    <t>3.8.4</t>
  </si>
  <si>
    <t>Содержание зданий</t>
  </si>
  <si>
    <t>Арендная плата за землю</t>
  </si>
  <si>
    <t>3.9.7</t>
  </si>
  <si>
    <t>3.9.8</t>
  </si>
  <si>
    <t>Сторожевая охрана</t>
  </si>
  <si>
    <t>3.9.9</t>
  </si>
  <si>
    <t>Страхование основных фондов</t>
  </si>
  <si>
    <t>Информация об основных показателях финансово-хозяйственной деятельности                                                         Главного управления ОАО "ТГК-2" по Ярославской области (Ярославская ТЭЦ-3)                                                        в части регулируемой деятельности (водоотведение сточных вод),                                                                                              за 2012 год.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</si>
</sst>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#,##0.000"/>
    <numFmt numFmtId="192" formatCode="#,##0.0000"/>
    <numFmt numFmtId="193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22"/>
      <name val="Times New Roman"/>
      <family val="1"/>
    </font>
    <font>
      <sz val="10"/>
      <name val="Arial Cyr"/>
      <family val="0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2"/>
      <color indexed="12"/>
      <name val="Times New Roman"/>
      <family val="1"/>
    </font>
    <font>
      <sz val="10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85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191" fontId="55" fillId="0" borderId="10" xfId="0" applyNumberFormat="1" applyFont="1" applyBorder="1" applyAlignment="1">
      <alignment horizontal="center" vertical="center" wrapText="1"/>
    </xf>
    <xf numFmtId="192" fontId="55" fillId="0" borderId="10" xfId="0" applyNumberFormat="1" applyFont="1" applyBorder="1" applyAlignment="1">
      <alignment horizontal="center" vertical="center" wrapText="1"/>
    </xf>
    <xf numFmtId="193" fontId="5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9" fillId="0" borderId="0" xfId="0" applyNumberFormat="1" applyFont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11" xfId="0" applyNumberFormat="1" applyFont="1" applyBorder="1" applyAlignment="1" applyProtection="1">
      <alignment horizontal="center" vertical="center"/>
      <protection/>
    </xf>
    <xf numFmtId="49" fontId="57" fillId="0" borderId="12" xfId="0" applyNumberFormat="1" applyFont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191" fontId="2" fillId="0" borderId="10" xfId="0" applyNumberFormat="1" applyFont="1" applyFill="1" applyBorder="1" applyAlignment="1" applyProtection="1">
      <alignment horizontal="center" vertical="center"/>
      <protection locked="0"/>
    </xf>
    <xf numFmtId="191" fontId="3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9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33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4" fillId="0" borderId="10" xfId="0" applyNumberFormat="1" applyFont="1" applyFill="1" applyBorder="1" applyAlignment="1" applyProtection="1">
      <alignment horizontal="left" vertical="center" wrapText="1" indent="2"/>
      <protection/>
    </xf>
    <xf numFmtId="193" fontId="3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horizontal="left" vertical="center" wrapText="1" indent="3"/>
      <protection/>
    </xf>
    <xf numFmtId="19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4" fillId="0" borderId="10" xfId="0" applyNumberFormat="1" applyFont="1" applyFill="1" applyBorder="1" applyAlignment="1" applyProtection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0" xfId="43" applyFont="1" applyFill="1" applyBorder="1" applyAlignment="1" applyProtection="1">
      <alignment horizontal="center" vertical="center" wrapText="1"/>
      <protection/>
    </xf>
    <xf numFmtId="0" fontId="36" fillId="0" borderId="10" xfId="42" applyFont="1" applyFill="1" applyBorder="1" applyAlignment="1" applyProtection="1">
      <alignment vertical="center" wrapText="1"/>
      <protection/>
    </xf>
    <xf numFmtId="0" fontId="36" fillId="0" borderId="10" xfId="43" applyFont="1" applyFill="1" applyBorder="1" applyAlignment="1" applyProtection="1">
      <alignment vertical="center" wrapText="1"/>
      <protection/>
    </xf>
    <xf numFmtId="193" fontId="36" fillId="0" borderId="10" xfId="43" applyNumberFormat="1" applyFont="1" applyFill="1" applyBorder="1" applyAlignment="1" applyProtection="1">
      <alignment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horizontal="left" vertical="center" wrapText="1"/>
      <protection/>
    </xf>
    <xf numFmtId="186" fontId="3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193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193" fontId="58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o_gk\&#1043;&#1058;&#1056;\&#1042;&#1086;&#1076;&#1072;\2013\&#1087;&#1077;&#1088;&#1077;&#1082;&#1072;&#1095;&#1082;&#1072;%20&#1057;&#1058;&#1069;&#1062;\&#1092;&#1072;&#1082;&#1090;%201%20&#1087;&#1086;&#1083;&#1091;&#1075;&#1086;&#1076;&#1080;&#1077;,%202012%20&#1075;\&#1060;&#1072;&#1082;&#1090;%202012%20&#1075;.%20(&#1057;&#1058;&#1069;&#1062;-1,%20&#1057;&#1058;&#1069;&#1062;-2%20&#1093;&#1086;&#1083;&#1086;&#1076;&#1085;%20&#1074;&#1086;&#1076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o_gk\&#1043;&#1058;&#1056;\&#1058;&#1072;&#1088;&#1080;&#1092;&#1099;%202014\&#1058;&#1072;&#1088;&#1080;&#1092;&#1099;%20&#1085;&#1072;%20&#1090;&#1077;&#1087;&#1083;&#1086;&#1085;&#1086;&#1089;&#1080;&#1090;&#1077;&#1083;&#1100;,%20&#1074;&#1086;&#1076;&#1091;\&#1057;&#1077;&#1074;&#1077;&#1088;&#1086;&#1076;&#1074;&#1080;&#1085;&#1089;&#1082;\&#1055;&#1080;&#1090;&#1100;&#1077;&#1074;&#1072;&#1103;%20&#1074;&#1086;&#1076;&#1072;\&#1086;&#1090;&#1087;&#1088;&#1072;&#1074;&#1082;&#1072;%202\&#1056;&#1072;&#1089;&#1095;&#1077;&#1090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o_gk\&#1043;&#1058;&#1056;\&#1042;&#1086;&#1076;&#1072;\2013\&#1040;&#1058;&#1069;&#1062;\&#1092;&#1072;&#1082;&#1090;%201%20&#1087;&#1086;&#1083;&#1091;&#1075;&#1086;&#1076;&#1080;&#1077;,%20&#1092;&#1072;&#1082;&#1090;%202012\&#1058;&#1077;&#1093;&#1085;&#1080;&#1095;&#1077;&#1089;&#1082;&#1072;&#1103;%20&#1074;&#1086;&#1076;&#1072;\&#1060;&#1072;&#1082;&#1090;%202012%20&#1040;&#1058;&#1069;&#106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o_gk\&#1043;&#1058;&#1056;\&#1058;&#1072;&#1088;&#1080;&#1092;&#1099;%202014\&#1058;&#1072;&#1088;&#1080;&#1092;&#1099;%20&#1085;&#1072;%20&#1090;&#1077;&#1087;&#1083;&#1086;&#1085;&#1086;&#1089;&#1080;&#1090;&#1077;&#1083;&#1100;,%20&#1074;&#1086;&#1076;&#1091;\&#1040;&#1088;&#1093;&#1072;&#1085;&#1075;&#1077;&#1083;&#1100;&#1089;&#1082;\&#1058;&#1077;&#1093;&#1085;&#1080;&#1095;&#1077;&#1089;&#1082;&#1072;&#1103;%20&#1074;&#1086;&#1076;&#1072;\&#1054;&#1073;&#1098;&#1077;&#1084;%20&#1086;&#1090;%20&#1040;&#1058;&#1069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2"/>
      <sheetName val="Архоблгаз выручка"/>
      <sheetName val="Северодв Агрокомбинат выручка"/>
      <sheetName val="КУБ-3 "/>
      <sheetName val="Потребление"/>
      <sheetName val="НВВ"/>
    </sheetNames>
    <sheetDataSet>
      <sheetData sheetId="0">
        <row r="9">
          <cell r="Q9">
            <v>163.00081696235185</v>
          </cell>
        </row>
        <row r="11">
          <cell r="Q11">
            <v>2942.64406779661</v>
          </cell>
        </row>
        <row r="13">
          <cell r="Q13">
            <v>2518.322705717544</v>
          </cell>
        </row>
        <row r="15">
          <cell r="Q15">
            <v>14.93013702503515</v>
          </cell>
        </row>
        <row r="16">
          <cell r="Q16">
            <v>4.841291215279365</v>
          </cell>
        </row>
        <row r="17">
          <cell r="Q17">
            <v>11.959039757053151</v>
          </cell>
        </row>
        <row r="24">
          <cell r="Q24">
            <v>52282.99984029028</v>
          </cell>
        </row>
        <row r="26">
          <cell r="Q26">
            <v>863654.4322033898</v>
          </cell>
        </row>
        <row r="28">
          <cell r="Q28">
            <v>808493.3476427842</v>
          </cell>
        </row>
        <row r="29">
          <cell r="Q29">
            <v>11119.621651139336</v>
          </cell>
        </row>
        <row r="30">
          <cell r="Q30">
            <v>19735.659769249192</v>
          </cell>
        </row>
        <row r="31">
          <cell r="Q31">
            <v>5920.697930774759</v>
          </cell>
        </row>
        <row r="32">
          <cell r="Q32">
            <v>14166.542031016375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рограмма"/>
      <sheetName val="фин. потр."/>
      <sheetName val="ТЭЦ-1"/>
      <sheetName val="ФОТ"/>
      <sheetName val="ТЭЦ-2"/>
      <sheetName val="НВВ Т_1"/>
      <sheetName val="НВВ Т-2"/>
      <sheetName val="Перечень"/>
    </sheetNames>
    <sheetDataSet>
      <sheetData sheetId="0">
        <row r="9">
          <cell r="B9">
            <v>266466</v>
          </cell>
        </row>
        <row r="14">
          <cell r="B14">
            <v>6636354</v>
          </cell>
        </row>
        <row r="27">
          <cell r="B27">
            <v>6369392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2"/>
      <sheetName val="КСКМ выручка"/>
      <sheetName val="СЗЭМ выручка"/>
      <sheetName val="КУБ-3 "/>
      <sheetName val="Объемы потребления"/>
    </sheetNames>
    <sheetDataSet>
      <sheetData sheetId="0">
        <row r="11">
          <cell r="Q11">
            <v>309806.40677966096</v>
          </cell>
        </row>
        <row r="13">
          <cell r="Q13">
            <v>61961.28223148939</v>
          </cell>
        </row>
        <row r="14">
          <cell r="Q14">
            <v>205027.636094896</v>
          </cell>
        </row>
        <row r="15">
          <cell r="Q15">
            <v>1579.982753841911</v>
          </cell>
        </row>
        <row r="16">
          <cell r="Q16">
            <v>473.5968456100439</v>
          </cell>
        </row>
        <row r="17">
          <cell r="Q17">
            <v>1265.5781252436466</v>
          </cell>
        </row>
        <row r="24">
          <cell r="Q24">
            <v>179.32203389830508</v>
          </cell>
        </row>
        <row r="26">
          <cell r="Q26">
            <v>35.86440728645072</v>
          </cell>
        </row>
        <row r="27">
          <cell r="Q27">
            <v>118.67402321362198</v>
          </cell>
        </row>
        <row r="28">
          <cell r="Q28">
            <v>0.914525054172563</v>
          </cell>
        </row>
        <row r="29">
          <cell r="Q29">
            <v>0.2741271572960579</v>
          </cell>
        </row>
        <row r="30">
          <cell r="Q30">
            <v>0.7325414791608944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12">
          <cell r="C12">
            <v>106405391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00390625" style="0" customWidth="1"/>
    <col min="2" max="2" width="80.421875" style="0" customWidth="1"/>
    <col min="3" max="3" width="17.57421875" style="0" customWidth="1"/>
    <col min="4" max="4" width="16.7109375" style="0" customWidth="1"/>
    <col min="5" max="5" width="16.421875" style="0" customWidth="1"/>
  </cols>
  <sheetData>
    <row r="1" spans="1:5" ht="15">
      <c r="A1" s="22" t="s">
        <v>67</v>
      </c>
      <c r="B1" s="22"/>
      <c r="C1" s="22"/>
      <c r="D1" s="22"/>
      <c r="E1" s="22"/>
    </row>
    <row r="2" spans="1:5" ht="51.75" customHeight="1">
      <c r="A2" s="23" t="s">
        <v>68</v>
      </c>
      <c r="B2" s="23"/>
      <c r="C2" s="23"/>
      <c r="D2" s="23"/>
      <c r="E2" s="23"/>
    </row>
    <row r="3" spans="1:5" ht="15">
      <c r="A3" s="24" t="s">
        <v>69</v>
      </c>
      <c r="B3" s="24" t="s">
        <v>70</v>
      </c>
      <c r="C3" s="24" t="s">
        <v>71</v>
      </c>
      <c r="D3" s="25" t="s">
        <v>72</v>
      </c>
      <c r="E3" s="25"/>
    </row>
    <row r="4" spans="1:5" ht="30">
      <c r="A4" s="26"/>
      <c r="B4" s="26"/>
      <c r="C4" s="26"/>
      <c r="D4" s="27" t="s">
        <v>73</v>
      </c>
      <c r="E4" s="27" t="s">
        <v>74</v>
      </c>
    </row>
    <row r="5" spans="1:5" ht="15">
      <c r="A5" s="27" t="s">
        <v>29</v>
      </c>
      <c r="B5" s="28" t="s">
        <v>75</v>
      </c>
      <c r="C5" s="27" t="s">
        <v>76</v>
      </c>
      <c r="D5" s="29">
        <f>ROUND('[1]факт 2012'!$Q$11,0)</f>
        <v>2943</v>
      </c>
      <c r="E5" s="29">
        <f>ROUND('[1]факт 2012'!$Q$26,0)</f>
        <v>863654</v>
      </c>
    </row>
    <row r="6" spans="1:5" ht="15">
      <c r="A6" s="27" t="s">
        <v>30</v>
      </c>
      <c r="B6" s="28" t="s">
        <v>77</v>
      </c>
      <c r="C6" s="27" t="s">
        <v>76</v>
      </c>
      <c r="D6" s="29">
        <f>D7+D12+D16</f>
        <v>2550</v>
      </c>
      <c r="E6" s="29">
        <f>E7+E8+E12+E16</f>
        <v>859436</v>
      </c>
    </row>
    <row r="7" spans="1:5" ht="30">
      <c r="A7" s="27" t="s">
        <v>8</v>
      </c>
      <c r="B7" s="28" t="s">
        <v>78</v>
      </c>
      <c r="C7" s="27" t="s">
        <v>76</v>
      </c>
      <c r="D7" s="29">
        <f>ROUND('[1]факт 2012'!$Q$13,0)</f>
        <v>2518</v>
      </c>
      <c r="E7" s="29">
        <f>ROUND('[1]факт 2012'!$Q$28,0)</f>
        <v>808493</v>
      </c>
    </row>
    <row r="8" spans="1:5" ht="30">
      <c r="A8" s="27" t="s">
        <v>9</v>
      </c>
      <c r="B8" s="28" t="s">
        <v>79</v>
      </c>
      <c r="C8" s="27" t="s">
        <v>76</v>
      </c>
      <c r="D8" s="30" t="s">
        <v>55</v>
      </c>
      <c r="E8" s="29">
        <f>ROUND('[1]факт 2012'!$Q$29,0)</f>
        <v>11120</v>
      </c>
    </row>
    <row r="9" spans="1:5" ht="15">
      <c r="A9" s="27" t="s">
        <v>11</v>
      </c>
      <c r="B9" s="28" t="s">
        <v>80</v>
      </c>
      <c r="C9" s="27" t="s">
        <v>81</v>
      </c>
      <c r="D9" s="30" t="s">
        <v>55</v>
      </c>
      <c r="E9" s="34" t="s">
        <v>55</v>
      </c>
    </row>
    <row r="10" spans="1:5" ht="15">
      <c r="A10" s="27" t="s">
        <v>10</v>
      </c>
      <c r="B10" s="28" t="s">
        <v>82</v>
      </c>
      <c r="C10" s="27" t="s">
        <v>83</v>
      </c>
      <c r="D10" s="30" t="s">
        <v>55</v>
      </c>
      <c r="E10" s="34" t="s">
        <v>55</v>
      </c>
    </row>
    <row r="11" spans="1:5" ht="15">
      <c r="A11" s="27" t="s">
        <v>12</v>
      </c>
      <c r="B11" s="28" t="s">
        <v>84</v>
      </c>
      <c r="C11" s="27" t="s">
        <v>76</v>
      </c>
      <c r="D11" s="30" t="s">
        <v>55</v>
      </c>
      <c r="E11" s="30" t="s">
        <v>55</v>
      </c>
    </row>
    <row r="12" spans="1:5" ht="30">
      <c r="A12" s="27" t="s">
        <v>13</v>
      </c>
      <c r="B12" s="28" t="s">
        <v>15</v>
      </c>
      <c r="C12" s="27" t="s">
        <v>76</v>
      </c>
      <c r="D12" s="29">
        <f>ROUND('[1]факт 2012'!$Q$15+'[1]факт 2012'!$Q$16,0)</f>
        <v>20</v>
      </c>
      <c r="E12" s="29">
        <f>ROUND('[1]факт 2012'!$Q$30+'[1]факт 2012'!$Q$31,0)</f>
        <v>25656</v>
      </c>
    </row>
    <row r="13" spans="1:5" ht="30">
      <c r="A13" s="27" t="s">
        <v>16</v>
      </c>
      <c r="B13" s="28" t="s">
        <v>85</v>
      </c>
      <c r="C13" s="27" t="s">
        <v>76</v>
      </c>
      <c r="D13" s="30" t="s">
        <v>55</v>
      </c>
      <c r="E13" s="30" t="s">
        <v>55</v>
      </c>
    </row>
    <row r="14" spans="1:5" ht="15">
      <c r="A14" s="27" t="s">
        <v>17</v>
      </c>
      <c r="B14" s="28" t="s">
        <v>86</v>
      </c>
      <c r="C14" s="27" t="s">
        <v>76</v>
      </c>
      <c r="D14" s="30" t="s">
        <v>55</v>
      </c>
      <c r="E14" s="30" t="s">
        <v>55</v>
      </c>
    </row>
    <row r="15" spans="1:5" ht="30">
      <c r="A15" s="27" t="s">
        <v>18</v>
      </c>
      <c r="B15" s="28" t="s">
        <v>23</v>
      </c>
      <c r="C15" s="27" t="s">
        <v>76</v>
      </c>
      <c r="D15" s="30" t="s">
        <v>55</v>
      </c>
      <c r="E15" s="30" t="s">
        <v>55</v>
      </c>
    </row>
    <row r="16" spans="1:5" ht="30">
      <c r="A16" s="27" t="s">
        <v>19</v>
      </c>
      <c r="B16" s="28" t="s">
        <v>87</v>
      </c>
      <c r="C16" s="27" t="s">
        <v>76</v>
      </c>
      <c r="D16" s="29">
        <f>ROUND('[1]факт 2012'!$Q$17,)</f>
        <v>12</v>
      </c>
      <c r="E16" s="29">
        <f>ROUND('[1]факт 2012'!$Q$32,)</f>
        <v>14167</v>
      </c>
    </row>
    <row r="17" spans="1:5" ht="30">
      <c r="A17" s="27" t="s">
        <v>20</v>
      </c>
      <c r="B17" s="28" t="s">
        <v>88</v>
      </c>
      <c r="C17" s="27" t="s">
        <v>76</v>
      </c>
      <c r="D17" s="30" t="s">
        <v>55</v>
      </c>
      <c r="E17" s="30" t="s">
        <v>55</v>
      </c>
    </row>
    <row r="18" spans="1:5" ht="60">
      <c r="A18" s="27" t="s">
        <v>25</v>
      </c>
      <c r="B18" s="28" t="s">
        <v>89</v>
      </c>
      <c r="C18" s="27" t="s">
        <v>76</v>
      </c>
      <c r="D18" s="30" t="s">
        <v>55</v>
      </c>
      <c r="E18" s="30" t="s">
        <v>55</v>
      </c>
    </row>
    <row r="19" spans="1:5" ht="75">
      <c r="A19" s="27" t="s">
        <v>26</v>
      </c>
      <c r="B19" s="28" t="s">
        <v>27</v>
      </c>
      <c r="C19" s="27" t="s">
        <v>76</v>
      </c>
      <c r="D19" s="30" t="s">
        <v>55</v>
      </c>
      <c r="E19" s="30" t="s">
        <v>55</v>
      </c>
    </row>
    <row r="20" spans="1:5" ht="45">
      <c r="A20" s="27" t="s">
        <v>64</v>
      </c>
      <c r="B20" s="28" t="s">
        <v>90</v>
      </c>
      <c r="C20" s="27" t="s">
        <v>76</v>
      </c>
      <c r="D20" s="30" t="s">
        <v>55</v>
      </c>
      <c r="E20" s="30" t="s">
        <v>55</v>
      </c>
    </row>
    <row r="21" spans="1:5" ht="45">
      <c r="A21" s="27" t="s">
        <v>31</v>
      </c>
      <c r="B21" s="28" t="s">
        <v>91</v>
      </c>
      <c r="C21" s="27" t="s">
        <v>76</v>
      </c>
      <c r="D21" s="29">
        <f>D23</f>
        <v>393</v>
      </c>
      <c r="E21" s="29">
        <f>E23</f>
        <v>4218</v>
      </c>
    </row>
    <row r="22" spans="1:5" ht="30">
      <c r="A22" s="27" t="s">
        <v>32</v>
      </c>
      <c r="B22" s="28" t="s">
        <v>92</v>
      </c>
      <c r="C22" s="27" t="s">
        <v>76</v>
      </c>
      <c r="D22" s="30" t="s">
        <v>55</v>
      </c>
      <c r="E22" s="30" t="s">
        <v>55</v>
      </c>
    </row>
    <row r="23" spans="1:5" ht="15">
      <c r="A23" s="27" t="s">
        <v>33</v>
      </c>
      <c r="B23" s="28" t="s">
        <v>93</v>
      </c>
      <c r="C23" s="27" t="s">
        <v>76</v>
      </c>
      <c r="D23" s="29">
        <f>D5-D6</f>
        <v>393</v>
      </c>
      <c r="E23" s="29">
        <f>E5-E6</f>
        <v>4218</v>
      </c>
    </row>
    <row r="24" spans="1:5" ht="45">
      <c r="A24" s="27" t="s">
        <v>34</v>
      </c>
      <c r="B24" s="28" t="s">
        <v>94</v>
      </c>
      <c r="C24" s="27" t="s">
        <v>76</v>
      </c>
      <c r="D24" s="30" t="s">
        <v>55</v>
      </c>
      <c r="E24" s="30" t="s">
        <v>55</v>
      </c>
    </row>
    <row r="25" spans="1:5" ht="15">
      <c r="A25" s="27" t="s">
        <v>39</v>
      </c>
      <c r="B25" s="28" t="s">
        <v>95</v>
      </c>
      <c r="C25" s="27" t="s">
        <v>96</v>
      </c>
      <c r="D25" s="30" t="s">
        <v>55</v>
      </c>
      <c r="E25" s="30" t="s">
        <v>55</v>
      </c>
    </row>
    <row r="26" spans="1:5" ht="15">
      <c r="A26" s="27" t="s">
        <v>40</v>
      </c>
      <c r="B26" s="28" t="s">
        <v>97</v>
      </c>
      <c r="C26" s="27" t="s">
        <v>96</v>
      </c>
      <c r="D26" s="30">
        <f>'[2]баланс'!$B$14/1000</f>
        <v>6636.354</v>
      </c>
      <c r="E26" s="30">
        <f>'[2]баланс'!$B$27/1000</f>
        <v>6369.392</v>
      </c>
    </row>
    <row r="27" spans="1:5" ht="15">
      <c r="A27" s="27" t="s">
        <v>41</v>
      </c>
      <c r="B27" s="28" t="s">
        <v>98</v>
      </c>
      <c r="C27" s="27" t="s">
        <v>96</v>
      </c>
      <c r="D27" s="30" t="s">
        <v>55</v>
      </c>
      <c r="E27" s="30" t="s">
        <v>55</v>
      </c>
    </row>
    <row r="28" spans="1:5" ht="30">
      <c r="A28" s="27" t="s">
        <v>42</v>
      </c>
      <c r="B28" s="28" t="s">
        <v>99</v>
      </c>
      <c r="C28" s="27" t="s">
        <v>96</v>
      </c>
      <c r="D28" s="31">
        <f>'[1]факт 2012'!$Q$9/1000</f>
        <v>0.16300081696235186</v>
      </c>
      <c r="E28" s="31">
        <f>'[1]факт 2012'!$Q$24/1000</f>
        <v>52.28299984029028</v>
      </c>
    </row>
    <row r="29" spans="1:5" ht="15">
      <c r="A29" s="27" t="s">
        <v>43</v>
      </c>
      <c r="B29" s="28" t="s">
        <v>100</v>
      </c>
      <c r="C29" s="27" t="s">
        <v>101</v>
      </c>
      <c r="D29" s="30" t="s">
        <v>55</v>
      </c>
      <c r="E29" s="30" t="s">
        <v>55</v>
      </c>
    </row>
    <row r="30" spans="1:5" ht="15">
      <c r="A30" s="27" t="s">
        <v>44</v>
      </c>
      <c r="B30" s="28" t="s">
        <v>102</v>
      </c>
      <c r="C30" s="27" t="s">
        <v>103</v>
      </c>
      <c r="D30" s="32">
        <f>ROUND(8/D26*D28,23)</f>
        <v>0.000196494420836926</v>
      </c>
      <c r="E30" s="32">
        <f>ROUND(4/E26*E28,23)</f>
        <v>0.0328339030414773</v>
      </c>
    </row>
    <row r="31" spans="1:5" ht="18">
      <c r="A31" s="27" t="s">
        <v>45</v>
      </c>
      <c r="B31" s="28" t="s">
        <v>104</v>
      </c>
      <c r="C31" s="27" t="s">
        <v>105</v>
      </c>
      <c r="D31" s="30" t="s">
        <v>55</v>
      </c>
      <c r="E31" s="31">
        <v>0.292</v>
      </c>
    </row>
    <row r="32" spans="1:5" ht="15">
      <c r="A32" s="27" t="s">
        <v>46</v>
      </c>
      <c r="B32" s="28" t="s">
        <v>106</v>
      </c>
      <c r="C32" s="27" t="s">
        <v>96</v>
      </c>
      <c r="D32" s="30">
        <f>D26-D28-'[2]баланс'!$B$9/1000</f>
        <v>6369.724999183038</v>
      </c>
      <c r="E32" s="30">
        <f>E26-E28</f>
        <v>6317.1090001597095</v>
      </c>
    </row>
    <row r="33" spans="1:5" ht="15">
      <c r="A33" s="27" t="s">
        <v>47</v>
      </c>
      <c r="B33" s="28" t="s">
        <v>107</v>
      </c>
      <c r="C33" s="27" t="s">
        <v>101</v>
      </c>
      <c r="D33" s="31">
        <f>ROUND(D28/D26*100,3)</f>
        <v>0.002</v>
      </c>
      <c r="E33" s="31">
        <f>ROUND(E28/E26*100,3)</f>
        <v>0.821</v>
      </c>
    </row>
    <row r="34" spans="1:5" ht="30">
      <c r="A34" s="27" t="s">
        <v>108</v>
      </c>
      <c r="B34" s="28" t="s">
        <v>109</v>
      </c>
      <c r="C34" s="27" t="s">
        <v>101</v>
      </c>
      <c r="D34" s="30" t="s">
        <v>55</v>
      </c>
      <c r="E34" s="30" t="s">
        <v>55</v>
      </c>
    </row>
  </sheetData>
  <sheetProtection/>
  <mergeCells count="6">
    <mergeCell ref="A1:E1"/>
    <mergeCell ref="A2:E2"/>
    <mergeCell ref="A3:A4"/>
    <mergeCell ref="B3:B4"/>
    <mergeCell ref="C3:C4"/>
    <mergeCell ref="D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0">
      <selection activeCell="B25" sqref="B25"/>
    </sheetView>
  </sheetViews>
  <sheetFormatPr defaultColWidth="9.140625" defaultRowHeight="12.75"/>
  <cols>
    <col min="1" max="1" width="8.00390625" style="0" customWidth="1"/>
    <col min="2" max="2" width="80.421875" style="0" customWidth="1"/>
    <col min="3" max="3" width="17.57421875" style="0" customWidth="1"/>
    <col min="4" max="4" width="16.7109375" style="0" customWidth="1"/>
  </cols>
  <sheetData>
    <row r="1" spans="1:4" ht="15">
      <c r="A1" s="22" t="s">
        <v>67</v>
      </c>
      <c r="B1" s="22"/>
      <c r="C1" s="22"/>
      <c r="D1" s="22"/>
    </row>
    <row r="2" spans="1:4" ht="67.5" customHeight="1">
      <c r="A2" s="23" t="s">
        <v>110</v>
      </c>
      <c r="B2" s="23"/>
      <c r="C2" s="23"/>
      <c r="D2" s="23"/>
    </row>
    <row r="3" spans="1:4" ht="30" customHeight="1">
      <c r="A3" s="27" t="s">
        <v>69</v>
      </c>
      <c r="B3" s="27" t="s">
        <v>70</v>
      </c>
      <c r="C3" s="27" t="s">
        <v>71</v>
      </c>
      <c r="D3" s="27" t="s">
        <v>111</v>
      </c>
    </row>
    <row r="4" spans="1:4" ht="15">
      <c r="A4" s="27" t="s">
        <v>29</v>
      </c>
      <c r="B4" s="28" t="s">
        <v>75</v>
      </c>
      <c r="C4" s="27" t="s">
        <v>76</v>
      </c>
      <c r="D4" s="29">
        <f>ROUND('[3]факт 2012'!$Q$11+'[3]факт 2012'!$Q$24,0)</f>
        <v>309986</v>
      </c>
    </row>
    <row r="5" spans="1:4" ht="15">
      <c r="A5" s="27" t="s">
        <v>30</v>
      </c>
      <c r="B5" s="28" t="s">
        <v>77</v>
      </c>
      <c r="C5" s="27" t="s">
        <v>76</v>
      </c>
      <c r="D5" s="29">
        <f>D6+D7+D11+D15</f>
        <v>270464</v>
      </c>
    </row>
    <row r="6" spans="1:4" ht="30">
      <c r="A6" s="27" t="s">
        <v>8</v>
      </c>
      <c r="B6" s="28" t="s">
        <v>78</v>
      </c>
      <c r="C6" s="27" t="s">
        <v>76</v>
      </c>
      <c r="D6" s="29">
        <f>ROUND('[3]факт 2012'!$Q$13+'[3]факт 2012'!$Q$26,0)</f>
        <v>61997</v>
      </c>
    </row>
    <row r="7" spans="1:4" ht="30">
      <c r="A7" s="27" t="s">
        <v>9</v>
      </c>
      <c r="B7" s="28" t="s">
        <v>79</v>
      </c>
      <c r="C7" s="27" t="s">
        <v>76</v>
      </c>
      <c r="D7" s="29">
        <f>ROUND('[3]факт 2012'!$Q$14+'[3]факт 2012'!$Q$27,0)</f>
        <v>205146</v>
      </c>
    </row>
    <row r="8" spans="1:4" ht="25.5" customHeight="1" hidden="1">
      <c r="A8" s="27" t="s">
        <v>11</v>
      </c>
      <c r="B8" s="28" t="s">
        <v>80</v>
      </c>
      <c r="C8" s="27" t="s">
        <v>81</v>
      </c>
      <c r="D8" s="30"/>
    </row>
    <row r="9" spans="1:4" ht="25.5" customHeight="1" hidden="1">
      <c r="A9" s="27" t="s">
        <v>10</v>
      </c>
      <c r="B9" s="28" t="s">
        <v>82</v>
      </c>
      <c r="C9" s="27" t="s">
        <v>83</v>
      </c>
      <c r="D9" s="30"/>
    </row>
    <row r="10" spans="1:4" ht="15">
      <c r="A10" s="27" t="s">
        <v>12</v>
      </c>
      <c r="B10" s="28" t="s">
        <v>84</v>
      </c>
      <c r="C10" s="27" t="s">
        <v>76</v>
      </c>
      <c r="D10" s="30" t="s">
        <v>55</v>
      </c>
    </row>
    <row r="11" spans="1:4" ht="30">
      <c r="A11" s="27" t="s">
        <v>13</v>
      </c>
      <c r="B11" s="28" t="s">
        <v>15</v>
      </c>
      <c r="C11" s="27" t="s">
        <v>76</v>
      </c>
      <c r="D11" s="29">
        <f>ROUND('[3]факт 2012'!$Q$15+'[3]факт 2012'!$Q$16+'[3]факт 2012'!$Q$28+'[3]факт 2012'!$Q$29,0)</f>
        <v>2055</v>
      </c>
    </row>
    <row r="12" spans="1:4" ht="30">
      <c r="A12" s="27" t="s">
        <v>16</v>
      </c>
      <c r="B12" s="28" t="s">
        <v>85</v>
      </c>
      <c r="C12" s="27" t="s">
        <v>76</v>
      </c>
      <c r="D12" s="30" t="s">
        <v>55</v>
      </c>
    </row>
    <row r="13" spans="1:4" ht="25.5" customHeight="1">
      <c r="A13" s="27" t="s">
        <v>17</v>
      </c>
      <c r="B13" s="28" t="s">
        <v>86</v>
      </c>
      <c r="C13" s="27" t="s">
        <v>76</v>
      </c>
      <c r="D13" s="30" t="s">
        <v>55</v>
      </c>
    </row>
    <row r="14" spans="1:4" ht="33.75" customHeight="1">
      <c r="A14" s="27" t="s">
        <v>18</v>
      </c>
      <c r="B14" s="28" t="s">
        <v>23</v>
      </c>
      <c r="C14" s="27" t="s">
        <v>76</v>
      </c>
      <c r="D14" s="30" t="s">
        <v>55</v>
      </c>
    </row>
    <row r="15" spans="1:4" ht="33" customHeight="1">
      <c r="A15" s="27" t="s">
        <v>19</v>
      </c>
      <c r="B15" s="28" t="s">
        <v>87</v>
      </c>
      <c r="C15" s="27" t="s">
        <v>76</v>
      </c>
      <c r="D15" s="29">
        <f>ROUND('[3]факт 2012'!$Q$17+'[3]факт 2012'!$Q$30,)</f>
        <v>1266</v>
      </c>
    </row>
    <row r="16" spans="1:4" ht="37.5" customHeight="1">
      <c r="A16" s="27" t="s">
        <v>20</v>
      </c>
      <c r="B16" s="28" t="s">
        <v>88</v>
      </c>
      <c r="C16" s="27" t="s">
        <v>76</v>
      </c>
      <c r="D16" s="30" t="s">
        <v>55</v>
      </c>
    </row>
    <row r="17" spans="1:4" ht="63" customHeight="1">
      <c r="A17" s="27" t="s">
        <v>25</v>
      </c>
      <c r="B17" s="28" t="s">
        <v>89</v>
      </c>
      <c r="C17" s="27" t="s">
        <v>76</v>
      </c>
      <c r="D17" s="30" t="s">
        <v>55</v>
      </c>
    </row>
    <row r="18" spans="1:4" ht="79.5" customHeight="1">
      <c r="A18" s="27" t="s">
        <v>26</v>
      </c>
      <c r="B18" s="28" t="s">
        <v>27</v>
      </c>
      <c r="C18" s="27" t="s">
        <v>76</v>
      </c>
      <c r="D18" s="30" t="s">
        <v>55</v>
      </c>
    </row>
    <row r="19" spans="1:4" ht="51" customHeight="1">
      <c r="A19" s="27" t="s">
        <v>64</v>
      </c>
      <c r="B19" s="28" t="s">
        <v>90</v>
      </c>
      <c r="C19" s="27" t="s">
        <v>76</v>
      </c>
      <c r="D19" s="30" t="s">
        <v>55</v>
      </c>
    </row>
    <row r="20" spans="1:4" ht="51" customHeight="1">
      <c r="A20" s="27" t="s">
        <v>31</v>
      </c>
      <c r="B20" s="28" t="s">
        <v>91</v>
      </c>
      <c r="C20" s="27" t="s">
        <v>76</v>
      </c>
      <c r="D20" s="29">
        <f>D22</f>
        <v>39522</v>
      </c>
    </row>
    <row r="21" spans="1:4" ht="40.5" customHeight="1">
      <c r="A21" s="27" t="s">
        <v>32</v>
      </c>
      <c r="B21" s="28" t="s">
        <v>92</v>
      </c>
      <c r="C21" s="27" t="s">
        <v>76</v>
      </c>
      <c r="D21" s="30" t="s">
        <v>55</v>
      </c>
    </row>
    <row r="22" spans="1:4" ht="25.5" customHeight="1">
      <c r="A22" s="27" t="s">
        <v>33</v>
      </c>
      <c r="B22" s="28" t="s">
        <v>93</v>
      </c>
      <c r="C22" s="27" t="s">
        <v>76</v>
      </c>
      <c r="D22" s="29">
        <f>D4-D5</f>
        <v>39522</v>
      </c>
    </row>
    <row r="23" spans="1:4" ht="48.75" customHeight="1">
      <c r="A23" s="27" t="s">
        <v>34</v>
      </c>
      <c r="B23" s="28" t="s">
        <v>94</v>
      </c>
      <c r="C23" s="27" t="s">
        <v>76</v>
      </c>
      <c r="D23" s="30" t="s">
        <v>55</v>
      </c>
    </row>
    <row r="24" spans="1:4" ht="25.5" customHeight="1">
      <c r="A24" s="27" t="s">
        <v>39</v>
      </c>
      <c r="B24" s="28" t="s">
        <v>95</v>
      </c>
      <c r="C24" s="27" t="s">
        <v>96</v>
      </c>
      <c r="D24" s="33">
        <f>ROUND('[4]12'!$C$12/1000,1)</f>
        <v>106405.4</v>
      </c>
    </row>
    <row r="25" spans="1:4" ht="25.5" customHeight="1">
      <c r="A25" s="27" t="s">
        <v>40</v>
      </c>
      <c r="B25" s="28" t="s">
        <v>97</v>
      </c>
      <c r="C25" s="27" t="s">
        <v>96</v>
      </c>
      <c r="D25" s="30" t="s">
        <v>55</v>
      </c>
    </row>
    <row r="26" spans="1:4" ht="25.5" customHeight="1">
      <c r="A26" s="27" t="s">
        <v>41</v>
      </c>
      <c r="B26" s="28" t="s">
        <v>98</v>
      </c>
      <c r="C26" s="27" t="s">
        <v>96</v>
      </c>
      <c r="D26" s="30" t="s">
        <v>55</v>
      </c>
    </row>
    <row r="27" spans="1:4" ht="37.5" customHeight="1">
      <c r="A27" s="27" t="s">
        <v>42</v>
      </c>
      <c r="B27" s="28" t="s">
        <v>99</v>
      </c>
      <c r="C27" s="27" t="s">
        <v>96</v>
      </c>
      <c r="D27" s="33">
        <v>240.3</v>
      </c>
    </row>
    <row r="28" spans="1:4" ht="25.5" customHeight="1">
      <c r="A28" s="27" t="s">
        <v>43</v>
      </c>
      <c r="B28" s="28" t="s">
        <v>100</v>
      </c>
      <c r="C28" s="27" t="s">
        <v>101</v>
      </c>
      <c r="D28" s="30" t="s">
        <v>55</v>
      </c>
    </row>
    <row r="29" spans="1:4" ht="25.5" customHeight="1">
      <c r="A29" s="27" t="s">
        <v>44</v>
      </c>
      <c r="B29" s="28" t="s">
        <v>102</v>
      </c>
      <c r="C29" s="27" t="s">
        <v>103</v>
      </c>
      <c r="D29" s="31">
        <f>ROUND(3/D24*D27,4)</f>
        <v>0.0068</v>
      </c>
    </row>
    <row r="30" spans="1:4" ht="25.5" customHeight="1">
      <c r="A30" s="27" t="s">
        <v>45</v>
      </c>
      <c r="B30" s="28" t="s">
        <v>104</v>
      </c>
      <c r="C30" s="27" t="s">
        <v>105</v>
      </c>
      <c r="D30" s="30">
        <v>0.107</v>
      </c>
    </row>
    <row r="31" spans="1:4" ht="27.75" customHeight="1">
      <c r="A31" s="27" t="s">
        <v>46</v>
      </c>
      <c r="B31" s="28" t="s">
        <v>106</v>
      </c>
      <c r="C31" s="27" t="s">
        <v>96</v>
      </c>
      <c r="D31" s="30">
        <f>D24-D27-42.5-103200.9</f>
        <v>2921.699999999997</v>
      </c>
    </row>
    <row r="32" spans="1:4" ht="25.5" customHeight="1">
      <c r="A32" s="27" t="s">
        <v>47</v>
      </c>
      <c r="B32" s="28" t="s">
        <v>107</v>
      </c>
      <c r="C32" s="27" t="s">
        <v>101</v>
      </c>
      <c r="D32" s="30">
        <f>ROUND(D27/D24*100,1)</f>
        <v>0.2</v>
      </c>
    </row>
    <row r="33" spans="1:4" ht="37.5" customHeight="1">
      <c r="A33" s="27" t="s">
        <v>108</v>
      </c>
      <c r="B33" s="28" t="s">
        <v>109</v>
      </c>
      <c r="C33" s="27" t="s">
        <v>101</v>
      </c>
      <c r="D33" s="30" t="s">
        <v>55</v>
      </c>
    </row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6">
      <selection activeCell="C14" sqref="C14"/>
    </sheetView>
  </sheetViews>
  <sheetFormatPr defaultColWidth="9.140625" defaultRowHeight="12.75"/>
  <cols>
    <col min="1" max="1" width="4.28125" style="12" customWidth="1"/>
    <col min="2" max="2" width="76.57421875" style="0" customWidth="1"/>
    <col min="3" max="3" width="14.00390625" style="0" customWidth="1"/>
  </cols>
  <sheetData>
    <row r="1" spans="2:3" ht="20.25" customHeight="1">
      <c r="B1" s="20" t="s">
        <v>3</v>
      </c>
      <c r="C1" s="20"/>
    </row>
    <row r="2" spans="2:3" ht="15.75">
      <c r="B2" s="21" t="s">
        <v>65</v>
      </c>
      <c r="C2" s="21"/>
    </row>
    <row r="3" spans="2:3" ht="22.5" customHeight="1">
      <c r="B3" s="20" t="s">
        <v>59</v>
      </c>
      <c r="C3" s="20"/>
    </row>
    <row r="4" ht="10.5" customHeight="1">
      <c r="B4" s="1"/>
    </row>
    <row r="5" spans="1:3" s="3" customFormat="1" ht="27.75" customHeight="1">
      <c r="A5" s="13"/>
      <c r="B5" s="4"/>
      <c r="C5" s="5" t="s">
        <v>66</v>
      </c>
    </row>
    <row r="6" spans="1:3" s="3" customFormat="1" ht="22.5" customHeight="1">
      <c r="A6" s="13" t="s">
        <v>29</v>
      </c>
      <c r="B6" s="6" t="s">
        <v>6</v>
      </c>
      <c r="C6" s="10">
        <v>408.6</v>
      </c>
    </row>
    <row r="7" spans="1:3" s="3" customFormat="1" ht="21" customHeight="1">
      <c r="A7" s="13" t="s">
        <v>30</v>
      </c>
      <c r="B7" s="6" t="s">
        <v>7</v>
      </c>
      <c r="C7" s="17">
        <v>435.6</v>
      </c>
    </row>
    <row r="8" spans="1:3" s="3" customFormat="1" ht="24.75" customHeight="1">
      <c r="A8" s="13" t="s">
        <v>8</v>
      </c>
      <c r="B8" s="7" t="s">
        <v>63</v>
      </c>
      <c r="C8" s="17">
        <v>60</v>
      </c>
    </row>
    <row r="9" spans="1:3" s="3" customFormat="1" ht="25.5">
      <c r="A9" s="14" t="s">
        <v>9</v>
      </c>
      <c r="B9" s="7" t="s">
        <v>60</v>
      </c>
      <c r="C9" s="17">
        <v>69.3</v>
      </c>
    </row>
    <row r="10" spans="1:3" s="3" customFormat="1" ht="15">
      <c r="A10" s="13" t="s">
        <v>11</v>
      </c>
      <c r="B10" s="7" t="s">
        <v>4</v>
      </c>
      <c r="C10" s="17">
        <f>C9/C11</f>
        <v>1.7027027027027024</v>
      </c>
    </row>
    <row r="11" spans="1:3" s="3" customFormat="1" ht="15">
      <c r="A11" s="13" t="s">
        <v>10</v>
      </c>
      <c r="B11" s="7" t="s">
        <v>5</v>
      </c>
      <c r="C11" s="17">
        <v>40.7</v>
      </c>
    </row>
    <row r="12" spans="1:3" s="3" customFormat="1" ht="14.25">
      <c r="A12" s="13" t="s">
        <v>12</v>
      </c>
      <c r="B12" s="8" t="s">
        <v>14</v>
      </c>
      <c r="C12" s="19" t="s">
        <v>55</v>
      </c>
    </row>
    <row r="13" spans="1:3" s="3" customFormat="1" ht="25.5">
      <c r="A13" s="13" t="s">
        <v>13</v>
      </c>
      <c r="B13" s="8" t="s">
        <v>15</v>
      </c>
      <c r="C13" s="17">
        <v>91.8</v>
      </c>
    </row>
    <row r="14" spans="1:3" s="3" customFormat="1" ht="25.5">
      <c r="A14" s="13" t="s">
        <v>16</v>
      </c>
      <c r="B14" s="7" t="s">
        <v>21</v>
      </c>
      <c r="C14" s="19" t="s">
        <v>55</v>
      </c>
    </row>
    <row r="15" spans="1:3" s="3" customFormat="1" ht="22.5" customHeight="1">
      <c r="A15" s="13" t="s">
        <v>17</v>
      </c>
      <c r="B15" s="8" t="s">
        <v>22</v>
      </c>
      <c r="C15" s="17">
        <v>47.5</v>
      </c>
    </row>
    <row r="16" spans="1:3" s="3" customFormat="1" ht="25.5">
      <c r="A16" s="13" t="s">
        <v>18</v>
      </c>
      <c r="B16" s="8" t="s">
        <v>23</v>
      </c>
      <c r="C16" s="19" t="s">
        <v>55</v>
      </c>
    </row>
    <row r="17" spans="1:3" s="3" customFormat="1" ht="25.5">
      <c r="A17" s="13" t="s">
        <v>19</v>
      </c>
      <c r="B17" s="7" t="s">
        <v>61</v>
      </c>
      <c r="C17" s="17">
        <v>29.3</v>
      </c>
    </row>
    <row r="18" spans="1:3" s="3" customFormat="1" ht="25.5">
      <c r="A18" s="13" t="s">
        <v>20</v>
      </c>
      <c r="B18" s="7" t="s">
        <v>24</v>
      </c>
      <c r="C18" s="17">
        <v>95.2</v>
      </c>
    </row>
    <row r="19" spans="1:3" s="3" customFormat="1" ht="51">
      <c r="A19" s="13" t="s">
        <v>25</v>
      </c>
      <c r="B19" s="7" t="s">
        <v>62</v>
      </c>
      <c r="C19" s="18">
        <v>42.4</v>
      </c>
    </row>
    <row r="20" spans="1:3" s="3" customFormat="1" ht="63.75">
      <c r="A20" s="13" t="s">
        <v>26</v>
      </c>
      <c r="B20" s="7" t="s">
        <v>27</v>
      </c>
      <c r="C20" s="18"/>
    </row>
    <row r="21" spans="1:3" s="3" customFormat="1" ht="38.25">
      <c r="A21" s="13" t="s">
        <v>64</v>
      </c>
      <c r="B21" s="7" t="s">
        <v>28</v>
      </c>
      <c r="C21" s="18"/>
    </row>
    <row r="22" spans="1:3" s="3" customFormat="1" ht="38.25">
      <c r="A22" s="13" t="s">
        <v>31</v>
      </c>
      <c r="B22" s="7" t="s">
        <v>35</v>
      </c>
      <c r="C22" s="19" t="s">
        <v>55</v>
      </c>
    </row>
    <row r="23" spans="1:5" s="3" customFormat="1" ht="25.5">
      <c r="A23" s="13" t="s">
        <v>32</v>
      </c>
      <c r="B23" s="7" t="s">
        <v>36</v>
      </c>
      <c r="C23" s="19" t="s">
        <v>55</v>
      </c>
      <c r="D23" s="16"/>
      <c r="E23" s="16"/>
    </row>
    <row r="24" spans="1:3" s="3" customFormat="1" ht="25.5">
      <c r="A24" s="13" t="s">
        <v>33</v>
      </c>
      <c r="B24" s="7" t="s">
        <v>37</v>
      </c>
      <c r="C24" s="18">
        <f>C6-C7</f>
        <v>-27</v>
      </c>
    </row>
    <row r="25" spans="1:3" s="3" customFormat="1" ht="38.25">
      <c r="A25" s="13" t="s">
        <v>34</v>
      </c>
      <c r="B25" s="7" t="s">
        <v>38</v>
      </c>
      <c r="C25" s="19" t="s">
        <v>55</v>
      </c>
    </row>
    <row r="26" spans="1:3" s="3" customFormat="1" ht="24.75" customHeight="1">
      <c r="A26" s="13" t="s">
        <v>39</v>
      </c>
      <c r="B26" s="7" t="s">
        <v>48</v>
      </c>
      <c r="C26" s="18">
        <v>4270.3</v>
      </c>
    </row>
    <row r="27" spans="1:3" s="3" customFormat="1" ht="24.75" customHeight="1">
      <c r="A27" s="13" t="s">
        <v>40</v>
      </c>
      <c r="B27" s="7" t="s">
        <v>49</v>
      </c>
      <c r="C27" s="9" t="s">
        <v>55</v>
      </c>
    </row>
    <row r="28" spans="1:3" s="3" customFormat="1" ht="24.75" customHeight="1">
      <c r="A28" s="13" t="s">
        <v>41</v>
      </c>
      <c r="B28" s="7" t="s">
        <v>50</v>
      </c>
      <c r="C28" s="9" t="s">
        <v>55</v>
      </c>
    </row>
    <row r="29" spans="1:3" s="3" customFormat="1" ht="24.75" customHeight="1">
      <c r="A29" s="13" t="s">
        <v>42</v>
      </c>
      <c r="B29" s="7" t="s">
        <v>51</v>
      </c>
      <c r="C29" s="10">
        <v>232.7</v>
      </c>
    </row>
    <row r="30" spans="1:3" s="3" customFormat="1" ht="24.75" customHeight="1">
      <c r="A30" s="13" t="s">
        <v>43</v>
      </c>
      <c r="B30" s="7" t="s">
        <v>52</v>
      </c>
      <c r="C30" s="9" t="s">
        <v>55</v>
      </c>
    </row>
    <row r="31" spans="1:3" s="3" customFormat="1" ht="24.75" customHeight="1">
      <c r="A31" s="13" t="s">
        <v>44</v>
      </c>
      <c r="B31" s="7" t="s">
        <v>53</v>
      </c>
      <c r="C31" s="11">
        <v>5</v>
      </c>
    </row>
    <row r="32" spans="1:3" s="3" customFormat="1" ht="24.75" customHeight="1">
      <c r="A32" s="13" t="s">
        <v>45</v>
      </c>
      <c r="B32" s="7" t="s">
        <v>56</v>
      </c>
      <c r="C32" s="11"/>
    </row>
    <row r="33" spans="1:3" s="3" customFormat="1" ht="24.75" customHeight="1">
      <c r="A33" s="13" t="s">
        <v>46</v>
      </c>
      <c r="B33" s="7" t="s">
        <v>57</v>
      </c>
      <c r="C33" s="11">
        <v>4037.6</v>
      </c>
    </row>
    <row r="34" spans="1:3" s="3" customFormat="1" ht="26.25" customHeight="1">
      <c r="A34" s="13" t="s">
        <v>47</v>
      </c>
      <c r="B34" s="7" t="s">
        <v>54</v>
      </c>
      <c r="C34" s="9" t="s">
        <v>55</v>
      </c>
    </row>
    <row r="35" ht="12.75">
      <c r="B35" s="2"/>
    </row>
    <row r="36" spans="2:3" ht="15.75">
      <c r="B36" s="1"/>
      <c r="C36" s="15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28125" style="12" customWidth="1"/>
    <col min="2" max="2" width="76.57421875" style="0" customWidth="1"/>
    <col min="3" max="4" width="14.00390625" style="0" customWidth="1"/>
  </cols>
  <sheetData>
    <row r="1" spans="2:3" ht="20.25" customHeight="1">
      <c r="B1" s="20" t="s">
        <v>3</v>
      </c>
      <c r="C1" s="20"/>
    </row>
    <row r="2" spans="2:3" ht="35.25" customHeight="1">
      <c r="B2" s="21" t="s">
        <v>58</v>
      </c>
      <c r="C2" s="21"/>
    </row>
    <row r="3" spans="2:3" ht="22.5" customHeight="1">
      <c r="B3" s="20" t="s">
        <v>59</v>
      </c>
      <c r="C3" s="20"/>
    </row>
    <row r="4" ht="10.5" customHeight="1">
      <c r="B4" s="1"/>
    </row>
    <row r="5" spans="1:4" s="3" customFormat="1" ht="27.75" customHeight="1">
      <c r="A5" s="13"/>
      <c r="B5" s="4"/>
      <c r="C5" s="5" t="s">
        <v>1</v>
      </c>
      <c r="D5" s="5" t="s">
        <v>2</v>
      </c>
    </row>
    <row r="6" spans="1:4" s="3" customFormat="1" ht="22.5" customHeight="1">
      <c r="A6" s="13" t="s">
        <v>29</v>
      </c>
      <c r="B6" s="6" t="s">
        <v>6</v>
      </c>
      <c r="C6" s="10">
        <f>438.917*4.54</f>
        <v>1992.68318</v>
      </c>
      <c r="D6" s="10">
        <f>261.053*5.43</f>
        <v>1417.5177899999999</v>
      </c>
    </row>
    <row r="7" spans="1:4" s="3" customFormat="1" ht="21" customHeight="1">
      <c r="A7" s="13" t="s">
        <v>30</v>
      </c>
      <c r="B7" s="6" t="s">
        <v>7</v>
      </c>
      <c r="C7" s="17">
        <f>C8+C9+C13+C14+C15+C16+C17+C18+C19+C20+C21</f>
        <v>1913.2392000000002</v>
      </c>
      <c r="D7" s="17">
        <f>D8+D9+D13+D14+D15+D16+D17+D18+D19+D20+D21</f>
        <v>1221.7280500000002</v>
      </c>
    </row>
    <row r="8" spans="1:4" s="3" customFormat="1" ht="24.75" customHeight="1">
      <c r="A8" s="13" t="s">
        <v>8</v>
      </c>
      <c r="B8" s="7" t="s">
        <v>63</v>
      </c>
      <c r="C8" s="17">
        <v>126.4081</v>
      </c>
      <c r="D8" s="17">
        <v>75.18326</v>
      </c>
    </row>
    <row r="9" spans="1:4" s="3" customFormat="1" ht="25.5">
      <c r="A9" s="14" t="s">
        <v>9</v>
      </c>
      <c r="B9" s="7" t="s">
        <v>60</v>
      </c>
      <c r="C9" s="17">
        <v>1120.5551</v>
      </c>
      <c r="D9" s="17">
        <v>516.62389</v>
      </c>
    </row>
    <row r="10" spans="1:4" s="3" customFormat="1" ht="15">
      <c r="A10" s="13" t="s">
        <v>11</v>
      </c>
      <c r="B10" s="7" t="s">
        <v>4</v>
      </c>
      <c r="C10" s="17">
        <v>2.08</v>
      </c>
      <c r="D10" s="17">
        <v>3.7344235825743577</v>
      </c>
    </row>
    <row r="11" spans="1:4" s="3" customFormat="1" ht="15">
      <c r="A11" s="13" t="s">
        <v>10</v>
      </c>
      <c r="B11" s="7" t="s">
        <v>5</v>
      </c>
      <c r="C11" s="17">
        <v>538.7284134615385</v>
      </c>
      <c r="D11" s="17">
        <v>138.34099924033276</v>
      </c>
    </row>
    <row r="12" spans="1:4" s="3" customFormat="1" ht="15">
      <c r="A12" s="13" t="s">
        <v>12</v>
      </c>
      <c r="B12" s="8" t="s">
        <v>14</v>
      </c>
      <c r="C12" s="17"/>
      <c r="D12" s="17"/>
    </row>
    <row r="13" spans="1:4" s="3" customFormat="1" ht="25.5">
      <c r="A13" s="13" t="s">
        <v>13</v>
      </c>
      <c r="B13" s="8" t="s">
        <v>15</v>
      </c>
      <c r="C13" s="17">
        <f>163.27712+49.1587</f>
        <v>212.43582</v>
      </c>
      <c r="D13" s="17">
        <f>123.21702+37.33058</f>
        <v>160.5476</v>
      </c>
    </row>
    <row r="14" spans="1:4" s="3" customFormat="1" ht="25.5">
      <c r="A14" s="13" t="s">
        <v>16</v>
      </c>
      <c r="B14" s="7" t="s">
        <v>21</v>
      </c>
      <c r="C14" s="17"/>
      <c r="D14" s="17"/>
    </row>
    <row r="15" spans="1:4" s="3" customFormat="1" ht="22.5" customHeight="1">
      <c r="A15" s="13" t="s">
        <v>17</v>
      </c>
      <c r="B15" s="8" t="s">
        <v>22</v>
      </c>
      <c r="C15" s="17">
        <v>23.70152</v>
      </c>
      <c r="D15" s="17">
        <v>73.35589</v>
      </c>
    </row>
    <row r="16" spans="1:4" s="3" customFormat="1" ht="25.5">
      <c r="A16" s="13" t="s">
        <v>18</v>
      </c>
      <c r="B16" s="8" t="s">
        <v>23</v>
      </c>
      <c r="C16" s="17"/>
      <c r="D16" s="17"/>
    </row>
    <row r="17" spans="1:4" s="3" customFormat="1" ht="25.5">
      <c r="A17" s="13" t="s">
        <v>19</v>
      </c>
      <c r="B17" s="7" t="s">
        <v>61</v>
      </c>
      <c r="C17" s="17">
        <v>75.05481</v>
      </c>
      <c r="D17" s="17">
        <f>65.26325</f>
        <v>65.26325</v>
      </c>
    </row>
    <row r="18" spans="1:4" s="3" customFormat="1" ht="25.5">
      <c r="A18" s="13" t="s">
        <v>20</v>
      </c>
      <c r="B18" s="7" t="s">
        <v>24</v>
      </c>
      <c r="C18" s="17">
        <v>355.08385</v>
      </c>
      <c r="D18" s="17">
        <v>257.13721</v>
      </c>
    </row>
    <row r="19" spans="1:4" s="3" customFormat="1" ht="51">
      <c r="A19" s="13" t="s">
        <v>25</v>
      </c>
      <c r="B19" s="7" t="s">
        <v>62</v>
      </c>
      <c r="C19" s="18"/>
      <c r="D19" s="18">
        <v>73.61695</v>
      </c>
    </row>
    <row r="20" spans="1:4" s="3" customFormat="1" ht="63.75">
      <c r="A20" s="13" t="s">
        <v>26</v>
      </c>
      <c r="B20" s="7" t="s">
        <v>27</v>
      </c>
      <c r="C20" s="18"/>
      <c r="D20" s="18"/>
    </row>
    <row r="21" spans="1:4" s="3" customFormat="1" ht="38.25">
      <c r="A21" s="13" t="s">
        <v>64</v>
      </c>
      <c r="B21" s="7" t="s">
        <v>28</v>
      </c>
      <c r="C21" s="18"/>
      <c r="D21" s="18"/>
    </row>
    <row r="22" spans="1:4" s="3" customFormat="1" ht="38.25">
      <c r="A22" s="13" t="s">
        <v>31</v>
      </c>
      <c r="B22" s="7" t="s">
        <v>35</v>
      </c>
      <c r="C22" s="19" t="s">
        <v>55</v>
      </c>
      <c r="D22" s="19" t="s">
        <v>55</v>
      </c>
    </row>
    <row r="23" spans="1:6" s="3" customFormat="1" ht="25.5">
      <c r="A23" s="13" t="s">
        <v>32</v>
      </c>
      <c r="B23" s="7" t="s">
        <v>36</v>
      </c>
      <c r="C23" s="19" t="s">
        <v>55</v>
      </c>
      <c r="D23" s="19" t="s">
        <v>55</v>
      </c>
      <c r="E23" s="16"/>
      <c r="F23" s="16"/>
    </row>
    <row r="24" spans="1:4" s="3" customFormat="1" ht="25.5">
      <c r="A24" s="13" t="s">
        <v>33</v>
      </c>
      <c r="B24" s="7" t="s">
        <v>37</v>
      </c>
      <c r="C24" s="18">
        <f>C6-C7</f>
        <v>79.44397999999978</v>
      </c>
      <c r="D24" s="18">
        <f>D6-D7</f>
        <v>195.7897399999997</v>
      </c>
    </row>
    <row r="25" spans="1:4" s="3" customFormat="1" ht="38.25">
      <c r="A25" s="13" t="s">
        <v>34</v>
      </c>
      <c r="B25" s="7" t="s">
        <v>38</v>
      </c>
      <c r="C25" s="19" t="s">
        <v>55</v>
      </c>
      <c r="D25" s="19" t="s">
        <v>55</v>
      </c>
    </row>
    <row r="26" spans="1:4" s="3" customFormat="1" ht="24.75" customHeight="1">
      <c r="A26" s="13" t="s">
        <v>39</v>
      </c>
      <c r="B26" s="7" t="s">
        <v>48</v>
      </c>
      <c r="C26" s="18">
        <v>2809.7090000000003</v>
      </c>
      <c r="D26" s="18">
        <v>3918.21</v>
      </c>
    </row>
    <row r="27" spans="1:4" s="3" customFormat="1" ht="24.75" customHeight="1">
      <c r="A27" s="13" t="s">
        <v>40</v>
      </c>
      <c r="B27" s="7" t="s">
        <v>49</v>
      </c>
      <c r="C27" s="9" t="s">
        <v>55</v>
      </c>
      <c r="D27" s="9" t="s">
        <v>55</v>
      </c>
    </row>
    <row r="28" spans="1:4" s="3" customFormat="1" ht="24.75" customHeight="1">
      <c r="A28" s="13" t="s">
        <v>41</v>
      </c>
      <c r="B28" s="7" t="s">
        <v>50</v>
      </c>
      <c r="C28" s="9" t="s">
        <v>55</v>
      </c>
      <c r="D28" s="9" t="s">
        <v>55</v>
      </c>
    </row>
    <row r="29" spans="1:4" s="3" customFormat="1" ht="24.75" customHeight="1">
      <c r="A29" s="13" t="s">
        <v>42</v>
      </c>
      <c r="B29" s="7" t="s">
        <v>51</v>
      </c>
      <c r="C29" s="10">
        <v>438.91700000000003</v>
      </c>
      <c r="D29" s="10">
        <v>261.05300000000005</v>
      </c>
    </row>
    <row r="30" spans="1:4" s="3" customFormat="1" ht="24.75" customHeight="1">
      <c r="A30" s="13" t="s">
        <v>43</v>
      </c>
      <c r="B30" s="7" t="s">
        <v>52</v>
      </c>
      <c r="C30" s="9" t="s">
        <v>55</v>
      </c>
      <c r="D30" s="9" t="s">
        <v>55</v>
      </c>
    </row>
    <row r="31" spans="1:4" s="3" customFormat="1" ht="24.75" customHeight="1">
      <c r="A31" s="13" t="s">
        <v>44</v>
      </c>
      <c r="B31" s="7" t="s">
        <v>53</v>
      </c>
      <c r="C31" s="11">
        <v>5</v>
      </c>
      <c r="D31" s="11">
        <v>8.5</v>
      </c>
    </row>
    <row r="32" spans="1:4" s="3" customFormat="1" ht="24.75" customHeight="1">
      <c r="A32" s="13" t="s">
        <v>45</v>
      </c>
      <c r="B32" s="7" t="s">
        <v>56</v>
      </c>
      <c r="C32" s="11">
        <v>1.1570906453301748</v>
      </c>
      <c r="D32" s="11">
        <v>0.4808624346321407</v>
      </c>
    </row>
    <row r="33" spans="1:4" s="3" customFormat="1" ht="24.75" customHeight="1">
      <c r="A33" s="13" t="s">
        <v>46</v>
      </c>
      <c r="B33" s="7" t="s">
        <v>57</v>
      </c>
      <c r="C33" s="11">
        <v>2370.7920000000004</v>
      </c>
      <c r="D33" s="11">
        <v>3657.157</v>
      </c>
    </row>
    <row r="34" spans="1:4" s="3" customFormat="1" ht="26.25" customHeight="1">
      <c r="A34" s="13" t="s">
        <v>47</v>
      </c>
      <c r="B34" s="7" t="s">
        <v>54</v>
      </c>
      <c r="C34" s="9" t="s">
        <v>55</v>
      </c>
      <c r="D34" s="9" t="s">
        <v>55</v>
      </c>
    </row>
    <row r="35" ht="12.75">
      <c r="B35" s="2"/>
    </row>
    <row r="36" spans="2:4" ht="15.75">
      <c r="B36" s="1"/>
      <c r="C36" s="15"/>
      <c r="D36" s="15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</sheetData>
  <sheetProtection/>
  <mergeCells count="3">
    <mergeCell ref="B1:C1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8"/>
  <sheetViews>
    <sheetView showGridLines="0" zoomScalePageLayoutView="0" workbookViewId="0" topLeftCell="A1">
      <selection activeCell="B2" sqref="B2:B3"/>
    </sheetView>
  </sheetViews>
  <sheetFormatPr defaultColWidth="22.28125" defaultRowHeight="15" customHeight="1"/>
  <cols>
    <col min="1" max="1" width="7.28125" style="0" bestFit="1" customWidth="1"/>
    <col min="2" max="2" width="70.00390625" style="0" customWidth="1"/>
    <col min="3" max="3" width="14.8515625" style="0" customWidth="1"/>
    <col min="4" max="4" width="22.28125" style="0" customWidth="1"/>
    <col min="5" max="5" width="22.28125" style="75" customWidth="1"/>
  </cols>
  <sheetData>
    <row r="1" spans="1:4" ht="80.25" customHeight="1">
      <c r="A1" s="35" t="s">
        <v>112</v>
      </c>
      <c r="B1" s="35"/>
      <c r="C1" s="35"/>
      <c r="D1" s="35"/>
    </row>
    <row r="2" spans="1:4" ht="15" customHeight="1">
      <c r="A2" s="36" t="s">
        <v>113</v>
      </c>
      <c r="B2" s="36" t="s">
        <v>114</v>
      </c>
      <c r="C2" s="36" t="s">
        <v>115</v>
      </c>
      <c r="D2" s="37" t="s">
        <v>116</v>
      </c>
    </row>
    <row r="3" spans="1:4" ht="82.5" customHeight="1">
      <c r="A3" s="36"/>
      <c r="B3" s="36"/>
      <c r="C3" s="36"/>
      <c r="D3" s="38"/>
    </row>
    <row r="4" spans="1:4" ht="15" customHeight="1">
      <c r="A4" s="39">
        <v>1</v>
      </c>
      <c r="B4" s="39">
        <v>2</v>
      </c>
      <c r="C4" s="39">
        <v>3</v>
      </c>
      <c r="D4" s="39">
        <v>4</v>
      </c>
    </row>
    <row r="5" spans="1:4" ht="15" customHeight="1">
      <c r="A5" s="40" t="s">
        <v>117</v>
      </c>
      <c r="B5" s="41" t="s">
        <v>0</v>
      </c>
      <c r="C5" s="42" t="s">
        <v>118</v>
      </c>
      <c r="D5" s="43" t="s">
        <v>119</v>
      </c>
    </row>
    <row r="6" spans="1:4" ht="15" customHeight="1">
      <c r="A6" s="40" t="s">
        <v>120</v>
      </c>
      <c r="B6" s="41" t="s">
        <v>121</v>
      </c>
      <c r="C6" s="42" t="s">
        <v>122</v>
      </c>
      <c r="D6" s="44">
        <v>70.72364895000001</v>
      </c>
    </row>
    <row r="7" spans="1:4" ht="15" customHeight="1" hidden="1">
      <c r="A7" s="40" t="s">
        <v>123</v>
      </c>
      <c r="B7" s="41" t="s">
        <v>124</v>
      </c>
      <c r="C7" s="42" t="s">
        <v>122</v>
      </c>
      <c r="D7" s="44">
        <v>261.0455365150583</v>
      </c>
    </row>
    <row r="8" spans="1:4" ht="15" customHeight="1" hidden="1">
      <c r="A8" s="40" t="s">
        <v>125</v>
      </c>
      <c r="B8" s="41" t="s">
        <v>126</v>
      </c>
      <c r="C8" s="42" t="s">
        <v>122</v>
      </c>
      <c r="D8" s="44">
        <v>0.664503767227203</v>
      </c>
    </row>
    <row r="9" spans="1:5" ht="15" customHeight="1">
      <c r="A9" s="40">
        <v>3</v>
      </c>
      <c r="B9" s="41" t="s">
        <v>127</v>
      </c>
      <c r="C9" s="42" t="s">
        <v>122</v>
      </c>
      <c r="D9" s="45">
        <f>D10+D14+D27+D28+D29+D31+D34+D39+D42+D48</f>
        <v>65.57623326881561</v>
      </c>
      <c r="E9" s="75">
        <v>65.5864791501531</v>
      </c>
    </row>
    <row r="10" spans="1:4" ht="15" customHeight="1">
      <c r="A10" s="40" t="s">
        <v>128</v>
      </c>
      <c r="B10" s="46" t="s">
        <v>129</v>
      </c>
      <c r="C10" s="42" t="s">
        <v>122</v>
      </c>
      <c r="D10" s="47">
        <f>D12</f>
        <v>64.08477570325847</v>
      </c>
    </row>
    <row r="11" spans="1:4" ht="15" customHeight="1">
      <c r="A11" s="40" t="s">
        <v>130</v>
      </c>
      <c r="B11" s="48" t="s">
        <v>131</v>
      </c>
      <c r="C11" s="42" t="s">
        <v>122</v>
      </c>
      <c r="D11" s="49"/>
    </row>
    <row r="12" spans="1:4" ht="15" customHeight="1">
      <c r="A12" s="40" t="s">
        <v>132</v>
      </c>
      <c r="B12" s="48" t="s">
        <v>133</v>
      </c>
      <c r="C12" s="42" t="s">
        <v>122</v>
      </c>
      <c r="D12" s="44">
        <v>64.08477570325847</v>
      </c>
    </row>
    <row r="13" spans="1:4" ht="15" customHeight="1">
      <c r="A13" s="40" t="s">
        <v>134</v>
      </c>
      <c r="B13" s="48" t="s">
        <v>135</v>
      </c>
      <c r="C13" s="42" t="s">
        <v>122</v>
      </c>
      <c r="D13" s="49"/>
    </row>
    <row r="14" spans="1:4" ht="15" customHeight="1">
      <c r="A14" s="40" t="s">
        <v>136</v>
      </c>
      <c r="B14" s="46" t="s">
        <v>137</v>
      </c>
      <c r="C14" s="42" t="s">
        <v>122</v>
      </c>
      <c r="D14" s="44">
        <v>1.21069</v>
      </c>
    </row>
    <row r="15" spans="1:4" ht="15" customHeight="1">
      <c r="A15" s="40" t="s">
        <v>138</v>
      </c>
      <c r="B15" s="48" t="s">
        <v>139</v>
      </c>
      <c r="C15" s="42" t="s">
        <v>76</v>
      </c>
      <c r="D15" s="50">
        <f>D14/D16</f>
        <v>1.0631278538812785</v>
      </c>
    </row>
    <row r="16" spans="1:4" ht="15" customHeight="1">
      <c r="A16" s="40" t="s">
        <v>140</v>
      </c>
      <c r="B16" s="48" t="s">
        <v>141</v>
      </c>
      <c r="C16" s="42" t="s">
        <v>142</v>
      </c>
      <c r="D16" s="44">
        <v>1.1388</v>
      </c>
    </row>
    <row r="17" spans="1:4" ht="15" customHeight="1">
      <c r="A17" s="40" t="s">
        <v>143</v>
      </c>
      <c r="B17" s="51" t="s">
        <v>144</v>
      </c>
      <c r="C17" s="42" t="s">
        <v>122</v>
      </c>
      <c r="D17" s="49"/>
    </row>
    <row r="18" spans="1:4" ht="15" customHeight="1" hidden="1">
      <c r="A18" s="40" t="s">
        <v>145</v>
      </c>
      <c r="B18" s="52" t="s">
        <v>146</v>
      </c>
      <c r="C18" s="42" t="s">
        <v>147</v>
      </c>
      <c r="D18" s="53">
        <v>0</v>
      </c>
    </row>
    <row r="19" spans="1:4" ht="15" customHeight="1" hidden="1">
      <c r="A19" s="40" t="s">
        <v>148</v>
      </c>
      <c r="B19" s="54" t="s">
        <v>149</v>
      </c>
      <c r="C19" s="42" t="s">
        <v>147</v>
      </c>
      <c r="D19" s="55"/>
    </row>
    <row r="20" spans="1:4" ht="15" customHeight="1" hidden="1">
      <c r="A20" s="40" t="s">
        <v>150</v>
      </c>
      <c r="B20" s="54" t="s">
        <v>151</v>
      </c>
      <c r="C20" s="42" t="s">
        <v>147</v>
      </c>
      <c r="D20" s="55"/>
    </row>
    <row r="21" spans="1:4" ht="15" customHeight="1" hidden="1">
      <c r="A21" s="40" t="s">
        <v>152</v>
      </c>
      <c r="B21" s="54" t="s">
        <v>153</v>
      </c>
      <c r="C21" s="42" t="s">
        <v>147</v>
      </c>
      <c r="D21" s="55"/>
    </row>
    <row r="22" spans="1:4" ht="15" customHeight="1" hidden="1">
      <c r="A22" s="40" t="s">
        <v>154</v>
      </c>
      <c r="B22" s="54" t="s">
        <v>155</v>
      </c>
      <c r="C22" s="42" t="s">
        <v>147</v>
      </c>
      <c r="D22" s="55"/>
    </row>
    <row r="23" spans="1:4" ht="15" customHeight="1" hidden="1">
      <c r="A23" s="40" t="s">
        <v>156</v>
      </c>
      <c r="B23" s="54" t="s">
        <v>157</v>
      </c>
      <c r="C23" s="42" t="s">
        <v>147</v>
      </c>
      <c r="D23" s="55"/>
    </row>
    <row r="24" spans="1:4" ht="15" customHeight="1" hidden="1">
      <c r="A24" s="40" t="s">
        <v>158</v>
      </c>
      <c r="B24" s="56" t="s">
        <v>159</v>
      </c>
      <c r="C24" s="42" t="s">
        <v>147</v>
      </c>
      <c r="D24" s="55"/>
    </row>
    <row r="25" spans="1:4" ht="15" customHeight="1" hidden="1">
      <c r="A25" s="40" t="s">
        <v>160</v>
      </c>
      <c r="B25" s="54" t="s">
        <v>161</v>
      </c>
      <c r="C25" s="42" t="s">
        <v>147</v>
      </c>
      <c r="D25" s="55"/>
    </row>
    <row r="26" spans="1:4" ht="15" customHeight="1" hidden="1">
      <c r="A26" s="40" t="s">
        <v>162</v>
      </c>
      <c r="B26" s="54" t="s">
        <v>163</v>
      </c>
      <c r="C26" s="42" t="s">
        <v>147</v>
      </c>
      <c r="D26" s="55"/>
    </row>
    <row r="27" spans="1:4" ht="15" customHeight="1">
      <c r="A27" s="40" t="s">
        <v>164</v>
      </c>
      <c r="B27" s="46" t="s">
        <v>165</v>
      </c>
      <c r="C27" s="42" t="s">
        <v>122</v>
      </c>
      <c r="D27" s="44">
        <v>0.10594</v>
      </c>
    </row>
    <row r="28" spans="1:4" ht="15" customHeight="1">
      <c r="A28" s="40" t="s">
        <v>166</v>
      </c>
      <c r="B28" s="46" t="s">
        <v>167</v>
      </c>
      <c r="C28" s="42" t="s">
        <v>122</v>
      </c>
      <c r="D28" s="44">
        <v>0.02772</v>
      </c>
    </row>
    <row r="29" spans="1:4" ht="15" customHeight="1">
      <c r="A29" s="40" t="s">
        <v>168</v>
      </c>
      <c r="B29" s="46" t="s">
        <v>169</v>
      </c>
      <c r="C29" s="42" t="s">
        <v>122</v>
      </c>
      <c r="D29" s="44">
        <v>0.0175414579040143</v>
      </c>
    </row>
    <row r="30" spans="1:4" ht="15" customHeight="1">
      <c r="A30" s="40" t="s">
        <v>170</v>
      </c>
      <c r="B30" s="46" t="s">
        <v>171</v>
      </c>
      <c r="C30" s="42" t="s">
        <v>122</v>
      </c>
      <c r="D30" s="57"/>
    </row>
    <row r="31" spans="1:4" ht="15" customHeight="1">
      <c r="A31" s="40" t="s">
        <v>172</v>
      </c>
      <c r="B31" s="46" t="s">
        <v>173</v>
      </c>
      <c r="C31" s="42" t="s">
        <v>122</v>
      </c>
      <c r="D31" s="44">
        <v>0.0019936773336202726</v>
      </c>
    </row>
    <row r="32" spans="1:4" ht="15" customHeight="1">
      <c r="A32" s="40" t="s">
        <v>174</v>
      </c>
      <c r="B32" s="48" t="s">
        <v>175</v>
      </c>
      <c r="C32" s="42" t="s">
        <v>122</v>
      </c>
      <c r="D32" s="57"/>
    </row>
    <row r="33" spans="1:4" ht="15" customHeight="1">
      <c r="A33" s="40" t="s">
        <v>176</v>
      </c>
      <c r="B33" s="48" t="s">
        <v>177</v>
      </c>
      <c r="C33" s="42" t="s">
        <v>122</v>
      </c>
      <c r="D33" s="57"/>
    </row>
    <row r="34" spans="1:4" ht="15" customHeight="1">
      <c r="A34" s="40" t="s">
        <v>178</v>
      </c>
      <c r="B34" s="46" t="s">
        <v>179</v>
      </c>
      <c r="C34" s="42" t="s">
        <v>122</v>
      </c>
      <c r="D34" s="44">
        <v>0.04021343050951675</v>
      </c>
    </row>
    <row r="35" spans="1:4" ht="15" customHeight="1">
      <c r="A35" s="40" t="s">
        <v>180</v>
      </c>
      <c r="B35" s="48" t="s">
        <v>175</v>
      </c>
      <c r="C35" s="42" t="s">
        <v>122</v>
      </c>
      <c r="D35" s="44">
        <v>0.029259999999999994</v>
      </c>
    </row>
    <row r="36" spans="1:4" ht="15" customHeight="1">
      <c r="A36" s="40" t="s">
        <v>181</v>
      </c>
      <c r="B36" s="48" t="s">
        <v>177</v>
      </c>
      <c r="C36" s="42" t="s">
        <v>122</v>
      </c>
      <c r="D36" s="44">
        <v>0.007429999999999999</v>
      </c>
    </row>
    <row r="37" spans="1:4" ht="15" customHeight="1">
      <c r="A37" s="40" t="s">
        <v>182</v>
      </c>
      <c r="B37" s="48" t="s">
        <v>183</v>
      </c>
      <c r="C37" s="42"/>
      <c r="D37" s="44">
        <v>0.0003160707967934579</v>
      </c>
    </row>
    <row r="38" spans="1:4" ht="15" customHeight="1">
      <c r="A38" s="40" t="s">
        <v>184</v>
      </c>
      <c r="B38" s="48" t="s">
        <v>185</v>
      </c>
      <c r="C38" s="42"/>
      <c r="D38" s="44">
        <v>0.003207359712723297</v>
      </c>
    </row>
    <row r="39" spans="1:4" ht="15" customHeight="1">
      <c r="A39" s="40" t="s">
        <v>186</v>
      </c>
      <c r="B39" s="51" t="s">
        <v>187</v>
      </c>
      <c r="C39" s="42" t="s">
        <v>122</v>
      </c>
      <c r="D39" s="57">
        <v>0</v>
      </c>
    </row>
    <row r="40" spans="1:4" ht="15" customHeight="1">
      <c r="A40" s="40" t="s">
        <v>188</v>
      </c>
      <c r="B40" s="52" t="s">
        <v>189</v>
      </c>
      <c r="C40" s="42" t="s">
        <v>122</v>
      </c>
      <c r="D40" s="57"/>
    </row>
    <row r="41" spans="1:4" ht="15" customHeight="1">
      <c r="A41" s="40" t="s">
        <v>190</v>
      </c>
      <c r="B41" s="52" t="s">
        <v>191</v>
      </c>
      <c r="C41" s="42" t="s">
        <v>122</v>
      </c>
      <c r="D41" s="57"/>
    </row>
    <row r="42" spans="1:4" ht="15" customHeight="1">
      <c r="A42" s="58" t="s">
        <v>192</v>
      </c>
      <c r="B42" s="51" t="s">
        <v>193</v>
      </c>
      <c r="C42" s="42" t="s">
        <v>122</v>
      </c>
      <c r="D42" s="59">
        <f>D47+D46+D43</f>
        <v>0.08735899981</v>
      </c>
    </row>
    <row r="43" spans="1:4" ht="15" customHeight="1">
      <c r="A43" s="58" t="s">
        <v>194</v>
      </c>
      <c r="B43" s="52" t="s">
        <v>195</v>
      </c>
      <c r="C43" s="42" t="s">
        <v>122</v>
      </c>
      <c r="D43" s="44">
        <v>0.03932</v>
      </c>
    </row>
    <row r="44" spans="1:4" ht="15" customHeight="1">
      <c r="A44" s="58" t="s">
        <v>196</v>
      </c>
      <c r="B44" s="52" t="s">
        <v>197</v>
      </c>
      <c r="C44" s="42" t="s">
        <v>122</v>
      </c>
      <c r="D44" s="49"/>
    </row>
    <row r="45" spans="1:4" ht="15" customHeight="1">
      <c r="A45" s="58" t="s">
        <v>198</v>
      </c>
      <c r="B45" s="48" t="s">
        <v>199</v>
      </c>
      <c r="C45" s="42" t="s">
        <v>103</v>
      </c>
      <c r="D45" s="60"/>
    </row>
    <row r="46" spans="1:4" ht="15" customHeight="1">
      <c r="A46" s="58" t="s">
        <v>200</v>
      </c>
      <c r="B46" s="48" t="s">
        <v>201</v>
      </c>
      <c r="C46" s="42" t="s">
        <v>122</v>
      </c>
      <c r="D46" s="44">
        <v>0.011569999999999997</v>
      </c>
    </row>
    <row r="47" spans="1:4" ht="15" customHeight="1">
      <c r="A47" s="58" t="s">
        <v>202</v>
      </c>
      <c r="B47" s="41" t="s">
        <v>203</v>
      </c>
      <c r="C47" s="42" t="s">
        <v>122</v>
      </c>
      <c r="D47" s="44">
        <v>0.03646899981000001</v>
      </c>
    </row>
    <row r="48" spans="1:4" ht="47.25" customHeight="1">
      <c r="A48" s="58" t="s">
        <v>204</v>
      </c>
      <c r="B48" s="46" t="s">
        <v>205</v>
      </c>
      <c r="C48" s="42" t="s">
        <v>122</v>
      </c>
      <c r="D48" s="57"/>
    </row>
    <row r="49" spans="1:4" ht="15" customHeight="1">
      <c r="A49" s="61"/>
      <c r="B49" s="62" t="s">
        <v>206</v>
      </c>
      <c r="C49" s="63"/>
      <c r="D49" s="64"/>
    </row>
    <row r="50" spans="1:4" ht="15" customHeight="1">
      <c r="A50" s="40" t="s">
        <v>207</v>
      </c>
      <c r="B50" s="41" t="s">
        <v>208</v>
      </c>
      <c r="C50" s="42" t="s">
        <v>122</v>
      </c>
      <c r="D50" s="59">
        <f>D6-D9</f>
        <v>5.147415681184398</v>
      </c>
    </row>
    <row r="51" spans="1:4" ht="15" customHeight="1">
      <c r="A51" s="40" t="s">
        <v>209</v>
      </c>
      <c r="B51" s="41" t="s">
        <v>210</v>
      </c>
      <c r="C51" s="42" t="s">
        <v>122</v>
      </c>
      <c r="D51" s="57"/>
    </row>
    <row r="52" spans="1:4" ht="15" customHeight="1">
      <c r="A52" s="40" t="s">
        <v>211</v>
      </c>
      <c r="B52" s="46" t="s">
        <v>212</v>
      </c>
      <c r="C52" s="42" t="s">
        <v>122</v>
      </c>
      <c r="D52" s="49"/>
    </row>
    <row r="53" spans="1:4" ht="15" customHeight="1">
      <c r="A53" s="40" t="s">
        <v>213</v>
      </c>
      <c r="B53" s="41" t="s">
        <v>214</v>
      </c>
      <c r="C53" s="42" t="s">
        <v>215</v>
      </c>
      <c r="D53" s="53">
        <v>0</v>
      </c>
    </row>
    <row r="54" spans="1:4" ht="15" customHeight="1">
      <c r="A54" s="40" t="s">
        <v>216</v>
      </c>
      <c r="B54" s="46" t="s">
        <v>217</v>
      </c>
      <c r="C54" s="42" t="s">
        <v>215</v>
      </c>
      <c r="D54" s="57"/>
    </row>
    <row r="55" spans="1:4" ht="15" customHeight="1">
      <c r="A55" s="40" t="s">
        <v>218</v>
      </c>
      <c r="B55" s="46" t="s">
        <v>219</v>
      </c>
      <c r="C55" s="42" t="s">
        <v>215</v>
      </c>
      <c r="D55" s="57"/>
    </row>
    <row r="56" spans="1:4" ht="15" customHeight="1">
      <c r="A56" s="40" t="s">
        <v>220</v>
      </c>
      <c r="B56" s="41" t="s">
        <v>221</v>
      </c>
      <c r="C56" s="42" t="s">
        <v>215</v>
      </c>
      <c r="D56" s="53">
        <f>D58</f>
        <v>4939.979</v>
      </c>
    </row>
    <row r="57" spans="1:4" ht="15" customHeight="1">
      <c r="A57" s="40" t="s">
        <v>222</v>
      </c>
      <c r="B57" s="46" t="s">
        <v>131</v>
      </c>
      <c r="C57" s="42" t="s">
        <v>215</v>
      </c>
      <c r="D57" s="57"/>
    </row>
    <row r="58" spans="1:4" ht="15" customHeight="1">
      <c r="A58" s="40" t="s">
        <v>223</v>
      </c>
      <c r="B58" s="46" t="s">
        <v>133</v>
      </c>
      <c r="C58" s="42" t="s">
        <v>215</v>
      </c>
      <c r="D58" s="57">
        <v>4939.979</v>
      </c>
    </row>
    <row r="59" spans="1:4" ht="15" customHeight="1">
      <c r="A59" s="40" t="s">
        <v>224</v>
      </c>
      <c r="B59" s="41" t="s">
        <v>50</v>
      </c>
      <c r="C59" s="42" t="s">
        <v>215</v>
      </c>
      <c r="D59" s="65"/>
    </row>
    <row r="60" spans="1:4" ht="15" customHeight="1">
      <c r="A60" s="40" t="s">
        <v>225</v>
      </c>
      <c r="B60" s="66" t="s">
        <v>226</v>
      </c>
      <c r="C60" s="42" t="s">
        <v>215</v>
      </c>
      <c r="D60" s="67">
        <v>4.519083000000001</v>
      </c>
    </row>
    <row r="61" spans="1:4" ht="15" customHeight="1">
      <c r="A61" s="40" t="s">
        <v>227</v>
      </c>
      <c r="B61" s="46" t="s">
        <v>228</v>
      </c>
      <c r="C61" s="42" t="s">
        <v>215</v>
      </c>
      <c r="D61" s="65">
        <v>4.519083000000001</v>
      </c>
    </row>
    <row r="62" spans="1:4" ht="15" customHeight="1">
      <c r="A62" s="40" t="s">
        <v>229</v>
      </c>
      <c r="B62" s="51" t="s">
        <v>230</v>
      </c>
      <c r="C62" s="42" t="s">
        <v>215</v>
      </c>
      <c r="D62" s="65"/>
    </row>
    <row r="63" spans="1:4" ht="15" customHeight="1">
      <c r="A63" s="40" t="s">
        <v>231</v>
      </c>
      <c r="B63" s="66" t="s">
        <v>232</v>
      </c>
      <c r="C63" s="42" t="s">
        <v>101</v>
      </c>
      <c r="D63" s="65"/>
    </row>
    <row r="64" spans="1:4" ht="15" customHeight="1">
      <c r="A64" s="40" t="s">
        <v>233</v>
      </c>
      <c r="B64" s="46" t="s">
        <v>234</v>
      </c>
      <c r="C64" s="42" t="s">
        <v>101</v>
      </c>
      <c r="D64" s="65"/>
    </row>
    <row r="65" spans="1:4" ht="15" customHeight="1">
      <c r="A65" s="40" t="s">
        <v>235</v>
      </c>
      <c r="B65" s="51" t="s">
        <v>236</v>
      </c>
      <c r="C65" s="42" t="s">
        <v>101</v>
      </c>
      <c r="D65" s="65">
        <v>4.2906862559537196</v>
      </c>
    </row>
    <row r="66" spans="1:4" ht="15" customHeight="1">
      <c r="A66" s="40" t="s">
        <v>237</v>
      </c>
      <c r="B66" s="68" t="s">
        <v>238</v>
      </c>
      <c r="C66" s="42" t="s">
        <v>239</v>
      </c>
      <c r="D66" s="69">
        <v>0.78</v>
      </c>
    </row>
    <row r="67" spans="1:4" ht="15" customHeight="1">
      <c r="A67" s="40" t="s">
        <v>240</v>
      </c>
      <c r="B67" s="68" t="s">
        <v>241</v>
      </c>
      <c r="C67" s="42" t="s">
        <v>242</v>
      </c>
      <c r="D67" s="69"/>
    </row>
    <row r="68" spans="1:4" ht="15" customHeight="1">
      <c r="A68" s="40" t="s">
        <v>243</v>
      </c>
      <c r="B68" s="68" t="s">
        <v>244</v>
      </c>
      <c r="C68" s="42" t="s">
        <v>242</v>
      </c>
      <c r="D68" s="60"/>
    </row>
    <row r="69" spans="1:4" ht="15" customHeight="1">
      <c r="A69" s="40" t="s">
        <v>245</v>
      </c>
      <c r="B69" s="68" t="s">
        <v>53</v>
      </c>
      <c r="C69" s="42" t="s">
        <v>103</v>
      </c>
      <c r="D69" s="60"/>
    </row>
    <row r="70" spans="1:4" ht="15" customHeight="1">
      <c r="A70" s="40" t="s">
        <v>246</v>
      </c>
      <c r="B70" s="66" t="s">
        <v>247</v>
      </c>
      <c r="C70" s="42" t="s">
        <v>248</v>
      </c>
      <c r="D70" s="69"/>
    </row>
    <row r="71" spans="1:4" ht="15" customHeight="1">
      <c r="A71" s="40" t="s">
        <v>249</v>
      </c>
      <c r="B71" s="46" t="s">
        <v>250</v>
      </c>
      <c r="C71" s="42" t="s">
        <v>248</v>
      </c>
      <c r="D71" s="69"/>
    </row>
    <row r="72" spans="1:4" ht="15" customHeight="1">
      <c r="A72" s="40" t="s">
        <v>251</v>
      </c>
      <c r="B72" s="51" t="s">
        <v>252</v>
      </c>
      <c r="C72" s="42" t="s">
        <v>248</v>
      </c>
      <c r="D72" s="69"/>
    </row>
    <row r="73" spans="1:4" ht="15" customHeight="1">
      <c r="A73" s="40" t="s">
        <v>253</v>
      </c>
      <c r="B73" s="51" t="s">
        <v>254</v>
      </c>
      <c r="C73" s="42" t="s">
        <v>248</v>
      </c>
      <c r="D73" s="69"/>
    </row>
    <row r="74" spans="1:4" ht="15" customHeight="1">
      <c r="A74" s="58" t="s">
        <v>255</v>
      </c>
      <c r="B74" s="66" t="s">
        <v>256</v>
      </c>
      <c r="C74" s="42" t="s">
        <v>215</v>
      </c>
      <c r="D74" s="57">
        <v>4728.02</v>
      </c>
    </row>
    <row r="75" spans="1:4" ht="15" customHeight="1">
      <c r="A75" s="58" t="s">
        <v>257</v>
      </c>
      <c r="B75" s="52" t="s">
        <v>258</v>
      </c>
      <c r="C75" s="42" t="s">
        <v>215</v>
      </c>
      <c r="D75" s="57"/>
    </row>
    <row r="76" spans="1:4" ht="15" customHeight="1">
      <c r="A76" s="40" t="s">
        <v>259</v>
      </c>
      <c r="B76" s="70" t="s">
        <v>260</v>
      </c>
      <c r="C76" s="71" t="s">
        <v>118</v>
      </c>
      <c r="D76" s="72" t="s">
        <v>118</v>
      </c>
    </row>
    <row r="78" ht="15" customHeight="1">
      <c r="D78" s="73"/>
    </row>
  </sheetData>
  <sheetProtection/>
  <mergeCells count="5">
    <mergeCell ref="A1:D1"/>
    <mergeCell ref="A2:A3"/>
    <mergeCell ref="B2:B3"/>
    <mergeCell ref="C2:C3"/>
    <mergeCell ref="D2:D3"/>
  </mergeCells>
  <hyperlinks>
    <hyperlink ref="B49" location="'ХВС показатели (питьевая)'!A1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showGridLines="0" zoomScalePageLayoutView="0" workbookViewId="0" topLeftCell="A1">
      <selection activeCell="C13" sqref="C13"/>
    </sheetView>
  </sheetViews>
  <sheetFormatPr defaultColWidth="22.28125" defaultRowHeight="12.75"/>
  <cols>
    <col min="1" max="1" width="22.28125" style="0" customWidth="1"/>
    <col min="2" max="2" width="70.00390625" style="0" customWidth="1"/>
    <col min="3" max="3" width="14.8515625" style="0" customWidth="1"/>
    <col min="4" max="4" width="18.140625" style="0" customWidth="1"/>
    <col min="5" max="5" width="22.28125" style="77" customWidth="1"/>
  </cols>
  <sheetData>
    <row r="1" spans="1:4" ht="80.25" customHeight="1">
      <c r="A1" s="35" t="s">
        <v>261</v>
      </c>
      <c r="B1" s="35"/>
      <c r="C1" s="35"/>
      <c r="D1" s="35"/>
    </row>
    <row r="2" spans="1:4" ht="15" customHeight="1">
      <c r="A2" s="36" t="s">
        <v>113</v>
      </c>
      <c r="B2" s="36" t="s">
        <v>114</v>
      </c>
      <c r="C2" s="36" t="s">
        <v>115</v>
      </c>
      <c r="D2" s="37" t="s">
        <v>116</v>
      </c>
    </row>
    <row r="3" spans="1:4" ht="82.5" customHeight="1">
      <c r="A3" s="36"/>
      <c r="B3" s="36"/>
      <c r="C3" s="36"/>
      <c r="D3" s="38"/>
    </row>
    <row r="4" spans="1:4" ht="15" customHeight="1">
      <c r="A4" s="39">
        <v>1</v>
      </c>
      <c r="B4" s="39">
        <v>2</v>
      </c>
      <c r="C4" s="39">
        <v>3</v>
      </c>
      <c r="D4" s="39">
        <v>4</v>
      </c>
    </row>
    <row r="5" spans="1:4" ht="15" customHeight="1">
      <c r="A5" s="40" t="s">
        <v>117</v>
      </c>
      <c r="B5" s="41" t="s">
        <v>0</v>
      </c>
      <c r="C5" s="42" t="s">
        <v>118</v>
      </c>
      <c r="D5" s="43" t="s">
        <v>262</v>
      </c>
    </row>
    <row r="6" spans="1:4" ht="15" customHeight="1">
      <c r="A6" s="40" t="s">
        <v>120</v>
      </c>
      <c r="B6" s="41" t="s">
        <v>121</v>
      </c>
      <c r="C6" s="42" t="s">
        <v>122</v>
      </c>
      <c r="D6" s="44">
        <v>132.79732079769073</v>
      </c>
    </row>
    <row r="7" spans="1:4" ht="15" customHeight="1" hidden="1">
      <c r="A7" s="40" t="s">
        <v>123</v>
      </c>
      <c r="B7" s="41" t="s">
        <v>124</v>
      </c>
      <c r="C7" s="42" t="s">
        <v>122</v>
      </c>
      <c r="D7" s="44">
        <v>261.0455365150583</v>
      </c>
    </row>
    <row r="8" spans="1:4" ht="15" customHeight="1" hidden="1">
      <c r="A8" s="40" t="s">
        <v>125</v>
      </c>
      <c r="B8" s="41" t="s">
        <v>126</v>
      </c>
      <c r="C8" s="42" t="s">
        <v>122</v>
      </c>
      <c r="D8" s="44">
        <v>0.664503767227203</v>
      </c>
    </row>
    <row r="9" spans="1:4" ht="15" customHeight="1">
      <c r="A9" s="40">
        <v>3</v>
      </c>
      <c r="B9" s="41" t="s">
        <v>127</v>
      </c>
      <c r="C9" s="42" t="s">
        <v>122</v>
      </c>
      <c r="D9" s="45">
        <f>D10+D14+D27+D28+D29+D31+D35+D42+D45+D51</f>
        <v>131.70695506854491</v>
      </c>
    </row>
    <row r="10" spans="1:4" ht="15" customHeight="1">
      <c r="A10" s="40" t="s">
        <v>128</v>
      </c>
      <c r="B10" s="46" t="s">
        <v>129</v>
      </c>
      <c r="C10" s="42" t="s">
        <v>122</v>
      </c>
      <c r="D10" s="47">
        <f>D12</f>
        <v>0</v>
      </c>
    </row>
    <row r="11" spans="1:4" ht="15" customHeight="1">
      <c r="A11" s="40" t="s">
        <v>130</v>
      </c>
      <c r="B11" s="48" t="s">
        <v>131</v>
      </c>
      <c r="C11" s="42" t="s">
        <v>122</v>
      </c>
      <c r="D11" s="49"/>
    </row>
    <row r="12" spans="1:4" ht="15" customHeight="1">
      <c r="A12" s="40" t="s">
        <v>132</v>
      </c>
      <c r="B12" s="48" t="s">
        <v>133</v>
      </c>
      <c r="C12" s="42" t="s">
        <v>122</v>
      </c>
      <c r="D12" s="44"/>
    </row>
    <row r="13" spans="1:4" ht="15" customHeight="1">
      <c r="A13" s="40" t="s">
        <v>134</v>
      </c>
      <c r="B13" s="48" t="s">
        <v>135</v>
      </c>
      <c r="C13" s="42" t="s">
        <v>122</v>
      </c>
      <c r="D13" s="49"/>
    </row>
    <row r="14" spans="1:5" ht="15" customHeight="1">
      <c r="A14" s="40" t="s">
        <v>136</v>
      </c>
      <c r="B14" s="46" t="s">
        <v>137</v>
      </c>
      <c r="C14" s="42" t="s">
        <v>122</v>
      </c>
      <c r="D14" s="44">
        <f>549.890857384872/E16*E14</f>
        <v>61.74893364191995</v>
      </c>
      <c r="E14" s="77">
        <v>38.604</v>
      </c>
    </row>
    <row r="15" spans="1:4" ht="15" customHeight="1">
      <c r="A15" s="40" t="s">
        <v>138</v>
      </c>
      <c r="B15" s="48" t="s">
        <v>139</v>
      </c>
      <c r="C15" s="42" t="s">
        <v>76</v>
      </c>
      <c r="D15" s="50">
        <f>D14/D16</f>
        <v>2.8563349117189905</v>
      </c>
    </row>
    <row r="16" spans="1:5" ht="15" customHeight="1">
      <c r="A16" s="40" t="s">
        <v>140</v>
      </c>
      <c r="B16" s="48" t="s">
        <v>141</v>
      </c>
      <c r="C16" s="42" t="s">
        <v>142</v>
      </c>
      <c r="D16" s="44">
        <v>21.61824</v>
      </c>
      <c r="E16" s="77">
        <v>343.779</v>
      </c>
    </row>
    <row r="17" spans="1:4" ht="31.5">
      <c r="A17" s="40" t="s">
        <v>143</v>
      </c>
      <c r="B17" s="51" t="s">
        <v>144</v>
      </c>
      <c r="C17" s="42" t="s">
        <v>122</v>
      </c>
      <c r="D17" s="49"/>
    </row>
    <row r="18" spans="1:4" ht="15.75" hidden="1">
      <c r="A18" s="40" t="s">
        <v>145</v>
      </c>
      <c r="B18" s="52" t="s">
        <v>146</v>
      </c>
      <c r="C18" s="42" t="s">
        <v>147</v>
      </c>
      <c r="D18" s="53">
        <v>0</v>
      </c>
    </row>
    <row r="19" spans="1:4" ht="15.75" hidden="1">
      <c r="A19" s="40" t="s">
        <v>148</v>
      </c>
      <c r="B19" s="54" t="s">
        <v>149</v>
      </c>
      <c r="C19" s="42" t="s">
        <v>147</v>
      </c>
      <c r="D19" s="55"/>
    </row>
    <row r="20" spans="1:4" ht="15.75" hidden="1">
      <c r="A20" s="40" t="s">
        <v>150</v>
      </c>
      <c r="B20" s="54" t="s">
        <v>151</v>
      </c>
      <c r="C20" s="42" t="s">
        <v>147</v>
      </c>
      <c r="D20" s="55"/>
    </row>
    <row r="21" spans="1:4" ht="15.75" hidden="1">
      <c r="A21" s="40" t="s">
        <v>152</v>
      </c>
      <c r="B21" s="54" t="s">
        <v>153</v>
      </c>
      <c r="C21" s="42" t="s">
        <v>147</v>
      </c>
      <c r="D21" s="55"/>
    </row>
    <row r="22" spans="1:4" ht="15.75" hidden="1">
      <c r="A22" s="40" t="s">
        <v>154</v>
      </c>
      <c r="B22" s="54" t="s">
        <v>155</v>
      </c>
      <c r="C22" s="42" t="s">
        <v>147</v>
      </c>
      <c r="D22" s="55"/>
    </row>
    <row r="23" spans="1:4" ht="15.75" hidden="1">
      <c r="A23" s="40" t="s">
        <v>156</v>
      </c>
      <c r="B23" s="54" t="s">
        <v>157</v>
      </c>
      <c r="C23" s="42" t="s">
        <v>147</v>
      </c>
      <c r="D23" s="55"/>
    </row>
    <row r="24" spans="1:4" ht="15.75" hidden="1">
      <c r="A24" s="40" t="s">
        <v>158</v>
      </c>
      <c r="B24" s="56" t="s">
        <v>159</v>
      </c>
      <c r="C24" s="42" t="s">
        <v>147</v>
      </c>
      <c r="D24" s="55"/>
    </row>
    <row r="25" spans="1:4" ht="15.75" hidden="1">
      <c r="A25" s="40" t="s">
        <v>160</v>
      </c>
      <c r="B25" s="54" t="s">
        <v>161</v>
      </c>
      <c r="C25" s="42" t="s">
        <v>147</v>
      </c>
      <c r="D25" s="55"/>
    </row>
    <row r="26" spans="1:4" ht="15.75" hidden="1">
      <c r="A26" s="40" t="s">
        <v>162</v>
      </c>
      <c r="B26" s="54" t="s">
        <v>163</v>
      </c>
      <c r="C26" s="42" t="s">
        <v>147</v>
      </c>
      <c r="D26" s="55"/>
    </row>
    <row r="27" spans="1:4" ht="15.75">
      <c r="A27" s="40" t="s">
        <v>164</v>
      </c>
      <c r="B27" s="46" t="s">
        <v>165</v>
      </c>
      <c r="C27" s="42" t="s">
        <v>122</v>
      </c>
      <c r="D27" s="44">
        <v>19.260238206522214</v>
      </c>
    </row>
    <row r="28" spans="1:4" ht="31.5">
      <c r="A28" s="40" t="s">
        <v>166</v>
      </c>
      <c r="B28" s="46" t="s">
        <v>167</v>
      </c>
      <c r="C28" s="42" t="s">
        <v>122</v>
      </c>
      <c r="D28" s="44">
        <v>5.609470151929001</v>
      </c>
    </row>
    <row r="29" spans="1:4" ht="15.75">
      <c r="A29" s="40" t="s">
        <v>168</v>
      </c>
      <c r="B29" s="46" t="s">
        <v>169</v>
      </c>
      <c r="C29" s="42" t="s">
        <v>122</v>
      </c>
      <c r="D29" s="44">
        <v>0.3316399999999999</v>
      </c>
    </row>
    <row r="30" spans="1:4" ht="31.5">
      <c r="A30" s="40" t="s">
        <v>170</v>
      </c>
      <c r="B30" s="46" t="s">
        <v>171</v>
      </c>
      <c r="C30" s="42" t="s">
        <v>122</v>
      </c>
      <c r="D30" s="57"/>
    </row>
    <row r="31" spans="1:4" ht="15.75">
      <c r="A31" s="40" t="s">
        <v>172</v>
      </c>
      <c r="B31" s="46" t="s">
        <v>173</v>
      </c>
      <c r="C31" s="42" t="s">
        <v>122</v>
      </c>
      <c r="D31" s="44">
        <f>160.029422929159/E16*E14</f>
        <v>17.97019551152704</v>
      </c>
    </row>
    <row r="32" spans="1:4" ht="15.75">
      <c r="A32" s="40" t="s">
        <v>174</v>
      </c>
      <c r="B32" s="48" t="s">
        <v>175</v>
      </c>
      <c r="C32" s="42" t="s">
        <v>122</v>
      </c>
      <c r="D32" s="57">
        <f>121.05789369694/E16*E14</f>
        <v>13.59396277339998</v>
      </c>
    </row>
    <row r="33" spans="1:4" ht="15.75">
      <c r="A33" s="40" t="s">
        <v>176</v>
      </c>
      <c r="B33" s="48" t="s">
        <v>177</v>
      </c>
      <c r="C33" s="42" t="s">
        <v>122</v>
      </c>
      <c r="D33" s="57">
        <f>35.6755139418161/E16*E14</f>
        <v>4.006113055800001</v>
      </c>
    </row>
    <row r="34" spans="1:4" ht="15.75">
      <c r="A34" s="40" t="s">
        <v>263</v>
      </c>
      <c r="B34" s="48" t="s">
        <v>183</v>
      </c>
      <c r="C34" s="42" t="s">
        <v>122</v>
      </c>
      <c r="D34" s="57">
        <f>D31-D32-D33</f>
        <v>0.3701196823270605</v>
      </c>
    </row>
    <row r="35" spans="1:5" ht="15.75">
      <c r="A35" s="40" t="s">
        <v>178</v>
      </c>
      <c r="B35" s="46" t="s">
        <v>179</v>
      </c>
      <c r="C35" s="42" t="s">
        <v>122</v>
      </c>
      <c r="D35" s="44">
        <f>D36+D37+D38+D39+D40+D41</f>
        <v>14.519337572179964</v>
      </c>
      <c r="E35" s="78"/>
    </row>
    <row r="36" spans="1:4" ht="15.75">
      <c r="A36" s="40" t="s">
        <v>180</v>
      </c>
      <c r="B36" s="48" t="s">
        <v>175</v>
      </c>
      <c r="C36" s="42" t="s">
        <v>122</v>
      </c>
      <c r="D36" s="44">
        <f>12.450963470097/E16*E14</f>
        <v>1.398156937450003</v>
      </c>
    </row>
    <row r="37" spans="1:4" ht="15.75">
      <c r="A37" s="40" t="s">
        <v>181</v>
      </c>
      <c r="B37" s="48" t="s">
        <v>177</v>
      </c>
      <c r="C37" s="42" t="s">
        <v>122</v>
      </c>
      <c r="D37" s="44">
        <f>3.67544575964802/E16*E14</f>
        <v>0.4127270953300003</v>
      </c>
    </row>
    <row r="38" spans="1:4" ht="15.75">
      <c r="A38" s="40" t="s">
        <v>182</v>
      </c>
      <c r="B38" s="48" t="s">
        <v>183</v>
      </c>
      <c r="C38" s="42"/>
      <c r="D38" s="44">
        <f>0.0723676011864894/E16*E14</f>
        <v>0.008126380250693722</v>
      </c>
    </row>
    <row r="39" spans="1:4" ht="15.75">
      <c r="A39" s="40" t="s">
        <v>184</v>
      </c>
      <c r="B39" s="48" t="s">
        <v>185</v>
      </c>
      <c r="C39" s="42"/>
      <c r="D39" s="44">
        <f>0.728117557341918/E16*E14</f>
        <v>0.08176255729299173</v>
      </c>
    </row>
    <row r="40" spans="1:4" ht="15.75">
      <c r="A40" s="40" t="s">
        <v>264</v>
      </c>
      <c r="B40" s="48" t="s">
        <v>265</v>
      </c>
      <c r="C40" s="42"/>
      <c r="D40" s="44">
        <f>109.154641893948/E16*E14</f>
        <v>12.257310061620892</v>
      </c>
    </row>
    <row r="41" spans="1:4" ht="15.75">
      <c r="A41" s="40" t="s">
        <v>266</v>
      </c>
      <c r="B41" s="48" t="s">
        <v>267</v>
      </c>
      <c r="C41" s="42"/>
      <c r="D41" s="44">
        <f>3.21706881638121/E16*E14</f>
        <v>0.36125454023538445</v>
      </c>
    </row>
    <row r="42" spans="1:4" ht="31.5">
      <c r="A42" s="40" t="s">
        <v>186</v>
      </c>
      <c r="B42" s="51" t="s">
        <v>187</v>
      </c>
      <c r="C42" s="42" t="s">
        <v>122</v>
      </c>
      <c r="D42" s="57">
        <v>0</v>
      </c>
    </row>
    <row r="43" spans="1:4" ht="31.5">
      <c r="A43" s="40" t="s">
        <v>188</v>
      </c>
      <c r="B43" s="52" t="s">
        <v>189</v>
      </c>
      <c r="C43" s="42" t="s">
        <v>122</v>
      </c>
      <c r="D43" s="57"/>
    </row>
    <row r="44" spans="1:4" ht="31.5">
      <c r="A44" s="40" t="s">
        <v>190</v>
      </c>
      <c r="B44" s="52" t="s">
        <v>191</v>
      </c>
      <c r="C44" s="42" t="s">
        <v>122</v>
      </c>
      <c r="D44" s="57"/>
    </row>
    <row r="45" spans="1:4" ht="31.5">
      <c r="A45" s="58" t="s">
        <v>192</v>
      </c>
      <c r="B45" s="51" t="s">
        <v>193</v>
      </c>
      <c r="C45" s="42" t="s">
        <v>122</v>
      </c>
      <c r="D45" s="59">
        <f>D50+D49+D46</f>
        <v>12.267139984466764</v>
      </c>
    </row>
    <row r="46" spans="1:4" ht="15.75">
      <c r="A46" s="58" t="s">
        <v>194</v>
      </c>
      <c r="B46" s="52" t="s">
        <v>195</v>
      </c>
      <c r="C46" s="42" t="s">
        <v>122</v>
      </c>
      <c r="D46" s="44"/>
    </row>
    <row r="47" spans="1:4" ht="31.5">
      <c r="A47" s="58" t="s">
        <v>196</v>
      </c>
      <c r="B47" s="52" t="s">
        <v>197</v>
      </c>
      <c r="C47" s="42" t="s">
        <v>122</v>
      </c>
      <c r="D47" s="49"/>
    </row>
    <row r="48" spans="1:4" ht="15.75">
      <c r="A48" s="58" t="s">
        <v>198</v>
      </c>
      <c r="B48" s="48" t="s">
        <v>199</v>
      </c>
      <c r="C48" s="42" t="s">
        <v>103</v>
      </c>
      <c r="D48" s="60"/>
    </row>
    <row r="49" spans="1:4" ht="31.5">
      <c r="A49" s="58" t="s">
        <v>200</v>
      </c>
      <c r="B49" s="48" t="s">
        <v>201</v>
      </c>
      <c r="C49" s="42" t="s">
        <v>122</v>
      </c>
      <c r="D49" s="44"/>
    </row>
    <row r="50" spans="1:4" ht="15.75">
      <c r="A50" s="58" t="s">
        <v>202</v>
      </c>
      <c r="B50" s="41" t="s">
        <v>203</v>
      </c>
      <c r="C50" s="42" t="s">
        <v>122</v>
      </c>
      <c r="D50" s="44">
        <f>109.24218/E16*E14</f>
        <v>12.267139984466764</v>
      </c>
    </row>
    <row r="51" spans="1:4" ht="47.25">
      <c r="A51" s="58" t="s">
        <v>204</v>
      </c>
      <c r="B51" s="46" t="s">
        <v>205</v>
      </c>
      <c r="C51" s="42" t="s">
        <v>122</v>
      </c>
      <c r="D51" s="57"/>
    </row>
    <row r="52" spans="1:4" ht="15.75">
      <c r="A52" s="61"/>
      <c r="B52" s="62" t="s">
        <v>206</v>
      </c>
      <c r="C52" s="63"/>
      <c r="D52" s="64"/>
    </row>
    <row r="53" spans="1:4" ht="31.5">
      <c r="A53" s="40" t="s">
        <v>207</v>
      </c>
      <c r="B53" s="41" t="s">
        <v>208</v>
      </c>
      <c r="C53" s="42" t="s">
        <v>122</v>
      </c>
      <c r="D53" s="59">
        <f>D6-D9</f>
        <v>1.090365729145816</v>
      </c>
    </row>
    <row r="54" spans="1:4" ht="15.75">
      <c r="A54" s="40" t="s">
        <v>209</v>
      </c>
      <c r="B54" s="41" t="s">
        <v>210</v>
      </c>
      <c r="C54" s="42" t="s">
        <v>122</v>
      </c>
      <c r="D54" s="57"/>
    </row>
    <row r="55" spans="1:4" ht="47.25">
      <c r="A55" s="40" t="s">
        <v>211</v>
      </c>
      <c r="B55" s="46" t="s">
        <v>212</v>
      </c>
      <c r="C55" s="42" t="s">
        <v>122</v>
      </c>
      <c r="D55" s="49"/>
    </row>
    <row r="56" spans="1:4" ht="15.75">
      <c r="A56" s="40" t="s">
        <v>213</v>
      </c>
      <c r="B56" s="41" t="s">
        <v>214</v>
      </c>
      <c r="C56" s="42" t="s">
        <v>215</v>
      </c>
      <c r="D56" s="53">
        <v>0</v>
      </c>
    </row>
    <row r="57" spans="1:4" ht="15.75">
      <c r="A57" s="40" t="s">
        <v>216</v>
      </c>
      <c r="B57" s="46" t="s">
        <v>217</v>
      </c>
      <c r="C57" s="42" t="s">
        <v>215</v>
      </c>
      <c r="D57" s="57"/>
    </row>
    <row r="58" spans="1:4" ht="15.75">
      <c r="A58" s="40" t="s">
        <v>218</v>
      </c>
      <c r="B58" s="46" t="s">
        <v>219</v>
      </c>
      <c r="C58" s="42" t="s">
        <v>215</v>
      </c>
      <c r="D58" s="57"/>
    </row>
    <row r="59" spans="1:4" ht="15.75">
      <c r="A59" s="40" t="s">
        <v>220</v>
      </c>
      <c r="B59" s="41" t="s">
        <v>221</v>
      </c>
      <c r="C59" s="42" t="s">
        <v>215</v>
      </c>
      <c r="D59" s="53">
        <f>D60</f>
        <v>408.776</v>
      </c>
    </row>
    <row r="60" spans="1:4" ht="15.75">
      <c r="A60" s="40" t="s">
        <v>222</v>
      </c>
      <c r="B60" s="46" t="s">
        <v>131</v>
      </c>
      <c r="C60" s="42" t="s">
        <v>215</v>
      </c>
      <c r="D60" s="57">
        <v>408.776</v>
      </c>
    </row>
    <row r="61" spans="1:4" ht="15.75">
      <c r="A61" s="40" t="s">
        <v>223</v>
      </c>
      <c r="B61" s="46" t="s">
        <v>133</v>
      </c>
      <c r="C61" s="42" t="s">
        <v>215</v>
      </c>
      <c r="D61" s="57"/>
    </row>
    <row r="62" spans="1:4" ht="15.75">
      <c r="A62" s="40" t="s">
        <v>224</v>
      </c>
      <c r="B62" s="41" t="s">
        <v>50</v>
      </c>
      <c r="C62" s="42" t="s">
        <v>215</v>
      </c>
      <c r="D62" s="65"/>
    </row>
    <row r="63" spans="1:4" ht="15.75">
      <c r="A63" s="40" t="s">
        <v>225</v>
      </c>
      <c r="B63" s="66" t="s">
        <v>226</v>
      </c>
      <c r="C63" s="42" t="s">
        <v>215</v>
      </c>
      <c r="D63" s="67">
        <f>D64</f>
        <v>38.604</v>
      </c>
    </row>
    <row r="64" spans="1:4" ht="15.75">
      <c r="A64" s="40" t="s">
        <v>227</v>
      </c>
      <c r="B64" s="46" t="s">
        <v>228</v>
      </c>
      <c r="C64" s="42" t="s">
        <v>215</v>
      </c>
      <c r="D64" s="65">
        <v>38.604</v>
      </c>
    </row>
    <row r="65" spans="1:4" ht="15.75">
      <c r="A65" s="40" t="s">
        <v>229</v>
      </c>
      <c r="B65" s="51" t="s">
        <v>230</v>
      </c>
      <c r="C65" s="42" t="s">
        <v>215</v>
      </c>
      <c r="D65" s="65"/>
    </row>
    <row r="66" spans="1:4" ht="15.75">
      <c r="A66" s="40" t="s">
        <v>231</v>
      </c>
      <c r="B66" s="66" t="s">
        <v>232</v>
      </c>
      <c r="C66" s="42" t="s">
        <v>101</v>
      </c>
      <c r="D66" s="65"/>
    </row>
    <row r="67" spans="1:4" ht="15.75">
      <c r="A67" s="40" t="s">
        <v>233</v>
      </c>
      <c r="B67" s="46" t="s">
        <v>234</v>
      </c>
      <c r="C67" s="42" t="s">
        <v>101</v>
      </c>
      <c r="D67" s="65"/>
    </row>
    <row r="68" spans="1:4" ht="15.75">
      <c r="A68" s="40" t="s">
        <v>235</v>
      </c>
      <c r="B68" s="51" t="s">
        <v>236</v>
      </c>
      <c r="C68" s="42" t="s">
        <v>101</v>
      </c>
      <c r="D68" s="65">
        <v>15.9</v>
      </c>
    </row>
    <row r="69" spans="1:4" ht="15.75">
      <c r="A69" s="40" t="s">
        <v>237</v>
      </c>
      <c r="B69" s="68" t="s">
        <v>238</v>
      </c>
      <c r="C69" s="42" t="s">
        <v>239</v>
      </c>
      <c r="D69" s="69"/>
    </row>
    <row r="70" spans="1:4" ht="15.75">
      <c r="A70" s="40" t="s">
        <v>240</v>
      </c>
      <c r="B70" s="68" t="s">
        <v>241</v>
      </c>
      <c r="C70" s="42" t="s">
        <v>242</v>
      </c>
      <c r="D70" s="69"/>
    </row>
    <row r="71" spans="1:4" ht="15.75">
      <c r="A71" s="40" t="s">
        <v>243</v>
      </c>
      <c r="B71" s="68" t="s">
        <v>244</v>
      </c>
      <c r="C71" s="42" t="s">
        <v>242</v>
      </c>
      <c r="D71" s="60">
        <v>1</v>
      </c>
    </row>
    <row r="72" spans="1:4" ht="31.5">
      <c r="A72" s="40" t="s">
        <v>245</v>
      </c>
      <c r="B72" s="68" t="s">
        <v>53</v>
      </c>
      <c r="C72" s="42" t="s">
        <v>103</v>
      </c>
      <c r="D72" s="60"/>
    </row>
    <row r="73" spans="1:4" ht="31.5">
      <c r="A73" s="40" t="s">
        <v>246</v>
      </c>
      <c r="B73" s="66" t="s">
        <v>247</v>
      </c>
      <c r="C73" s="42" t="s">
        <v>248</v>
      </c>
      <c r="D73" s="69"/>
    </row>
    <row r="74" spans="1:4" ht="15.75">
      <c r="A74" s="40" t="s">
        <v>249</v>
      </c>
      <c r="B74" s="46" t="s">
        <v>250</v>
      </c>
      <c r="C74" s="42" t="s">
        <v>248</v>
      </c>
      <c r="D74" s="69"/>
    </row>
    <row r="75" spans="1:4" ht="15.75">
      <c r="A75" s="40" t="s">
        <v>251</v>
      </c>
      <c r="B75" s="51" t="s">
        <v>252</v>
      </c>
      <c r="C75" s="42" t="s">
        <v>248</v>
      </c>
      <c r="D75" s="69"/>
    </row>
    <row r="76" spans="1:4" ht="15.75">
      <c r="A76" s="40" t="s">
        <v>253</v>
      </c>
      <c r="B76" s="51" t="s">
        <v>254</v>
      </c>
      <c r="C76" s="42" t="s">
        <v>248</v>
      </c>
      <c r="D76" s="69"/>
    </row>
    <row r="77" spans="1:4" ht="15.75">
      <c r="A77" s="58" t="s">
        <v>255</v>
      </c>
      <c r="B77" s="66" t="s">
        <v>256</v>
      </c>
      <c r="C77" s="42" t="s">
        <v>215</v>
      </c>
      <c r="D77" s="57">
        <v>343.779</v>
      </c>
    </row>
    <row r="78" spans="1:4" ht="15.75">
      <c r="A78" s="58" t="s">
        <v>257</v>
      </c>
      <c r="B78" s="52" t="s">
        <v>258</v>
      </c>
      <c r="C78" s="42" t="s">
        <v>215</v>
      </c>
      <c r="D78" s="57"/>
    </row>
    <row r="79" spans="1:4" ht="31.5">
      <c r="A79" s="40" t="s">
        <v>259</v>
      </c>
      <c r="B79" s="70" t="s">
        <v>260</v>
      </c>
      <c r="C79" s="71" t="s">
        <v>118</v>
      </c>
      <c r="D79" s="72" t="s">
        <v>118</v>
      </c>
    </row>
    <row r="81" ht="15.75">
      <c r="D81" s="73"/>
    </row>
  </sheetData>
  <sheetProtection/>
  <mergeCells count="5">
    <mergeCell ref="A1:D1"/>
    <mergeCell ref="A2:A3"/>
    <mergeCell ref="B2:B3"/>
    <mergeCell ref="C2:C3"/>
    <mergeCell ref="D2:D3"/>
  </mergeCells>
  <hyperlinks>
    <hyperlink ref="B52" location="'ХВС показатели (питьевая)'!A1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1">
      <selection activeCell="D2" sqref="D2:D3"/>
    </sheetView>
  </sheetViews>
  <sheetFormatPr defaultColWidth="22.28125" defaultRowHeight="12.75"/>
  <cols>
    <col min="1" max="1" width="22.28125" style="0" customWidth="1"/>
    <col min="2" max="2" width="70.00390625" style="0" customWidth="1"/>
    <col min="3" max="3" width="14.8515625" style="0" customWidth="1"/>
    <col min="4" max="4" width="18.140625" style="0" customWidth="1"/>
    <col min="5" max="5" width="22.28125" style="75" customWidth="1"/>
  </cols>
  <sheetData>
    <row r="1" spans="1:4" ht="80.25" customHeight="1">
      <c r="A1" s="35" t="s">
        <v>268</v>
      </c>
      <c r="B1" s="35"/>
      <c r="C1" s="35"/>
      <c r="D1" s="35"/>
    </row>
    <row r="2" spans="1:4" ht="15" customHeight="1">
      <c r="A2" s="36" t="s">
        <v>113</v>
      </c>
      <c r="B2" s="36" t="s">
        <v>114</v>
      </c>
      <c r="C2" s="36" t="s">
        <v>115</v>
      </c>
      <c r="D2" s="37" t="s">
        <v>116</v>
      </c>
    </row>
    <row r="3" spans="1:4" ht="82.5" customHeight="1">
      <c r="A3" s="36"/>
      <c r="B3" s="36"/>
      <c r="C3" s="36"/>
      <c r="D3" s="38"/>
    </row>
    <row r="4" spans="1:4" ht="15" customHeight="1">
      <c r="A4" s="39">
        <v>1</v>
      </c>
      <c r="B4" s="39">
        <v>2</v>
      </c>
      <c r="C4" s="39">
        <v>3</v>
      </c>
      <c r="D4" s="39">
        <v>4</v>
      </c>
    </row>
    <row r="5" spans="1:4" ht="15" customHeight="1">
      <c r="A5" s="40" t="s">
        <v>117</v>
      </c>
      <c r="B5" s="41" t="s">
        <v>0</v>
      </c>
      <c r="C5" s="42" t="s">
        <v>118</v>
      </c>
      <c r="D5" s="43" t="s">
        <v>269</v>
      </c>
    </row>
    <row r="6" spans="1:4" ht="15" customHeight="1">
      <c r="A6" s="40" t="s">
        <v>120</v>
      </c>
      <c r="B6" s="41" t="s">
        <v>121</v>
      </c>
      <c r="C6" s="42" t="s">
        <v>122</v>
      </c>
      <c r="D6" s="44">
        <v>280.18428</v>
      </c>
    </row>
    <row r="7" spans="1:4" ht="15" customHeight="1" hidden="1">
      <c r="A7" s="40" t="s">
        <v>123</v>
      </c>
      <c r="B7" s="41" t="s">
        <v>124</v>
      </c>
      <c r="C7" s="42" t="s">
        <v>122</v>
      </c>
      <c r="D7" s="44">
        <v>261.0455365150583</v>
      </c>
    </row>
    <row r="8" spans="1:4" ht="15" customHeight="1" hidden="1">
      <c r="A8" s="40" t="s">
        <v>125</v>
      </c>
      <c r="B8" s="41" t="s">
        <v>126</v>
      </c>
      <c r="C8" s="42" t="s">
        <v>122</v>
      </c>
      <c r="D8" s="44">
        <v>0.664503767227203</v>
      </c>
    </row>
    <row r="9" spans="1:4" ht="15" customHeight="1">
      <c r="A9" s="40">
        <v>3</v>
      </c>
      <c r="B9" s="41" t="s">
        <v>127</v>
      </c>
      <c r="C9" s="42" t="s">
        <v>122</v>
      </c>
      <c r="D9" s="45">
        <f>D10+D11+D24+D25+D26+D28+D32+D39+D42+D48</f>
        <v>275.462592714087</v>
      </c>
    </row>
    <row r="10" spans="1:4" ht="15" customHeight="1">
      <c r="A10" s="40" t="s">
        <v>128</v>
      </c>
      <c r="B10" s="46" t="s">
        <v>270</v>
      </c>
      <c r="C10" s="42" t="s">
        <v>122</v>
      </c>
      <c r="D10" s="47">
        <v>16.4009</v>
      </c>
    </row>
    <row r="11" spans="1:5" ht="15" customHeight="1">
      <c r="A11" s="40" t="s">
        <v>136</v>
      </c>
      <c r="B11" s="46" t="s">
        <v>137</v>
      </c>
      <c r="C11" s="42" t="s">
        <v>122</v>
      </c>
      <c r="D11" s="44">
        <v>12.6832597046378</v>
      </c>
      <c r="E11" s="75">
        <v>34.548</v>
      </c>
    </row>
    <row r="12" spans="1:4" ht="15" customHeight="1">
      <c r="A12" s="40" t="s">
        <v>138</v>
      </c>
      <c r="B12" s="48" t="s">
        <v>139</v>
      </c>
      <c r="C12" s="42" t="s">
        <v>76</v>
      </c>
      <c r="D12" s="50">
        <f>D11/D13</f>
        <v>1.245895785902297</v>
      </c>
    </row>
    <row r="13" spans="1:5" ht="15" customHeight="1">
      <c r="A13" s="40" t="s">
        <v>140</v>
      </c>
      <c r="B13" s="48" t="s">
        <v>141</v>
      </c>
      <c r="C13" s="42" t="s">
        <v>142</v>
      </c>
      <c r="D13" s="44">
        <f>24.366604/E13*E11</f>
        <v>10.18003259032808</v>
      </c>
      <c r="E13" s="75">
        <v>82.693</v>
      </c>
    </row>
    <row r="14" spans="1:4" ht="31.5">
      <c r="A14" s="40" t="s">
        <v>143</v>
      </c>
      <c r="B14" s="51" t="s">
        <v>144</v>
      </c>
      <c r="C14" s="42" t="s">
        <v>122</v>
      </c>
      <c r="D14" s="49"/>
    </row>
    <row r="15" spans="1:4" ht="15.75" hidden="1">
      <c r="A15" s="40" t="s">
        <v>145</v>
      </c>
      <c r="B15" s="52" t="s">
        <v>146</v>
      </c>
      <c r="C15" s="42" t="s">
        <v>147</v>
      </c>
      <c r="D15" s="53">
        <v>0</v>
      </c>
    </row>
    <row r="16" spans="1:4" ht="15.75" hidden="1">
      <c r="A16" s="40" t="s">
        <v>148</v>
      </c>
      <c r="B16" s="54" t="s">
        <v>149</v>
      </c>
      <c r="C16" s="42" t="s">
        <v>147</v>
      </c>
      <c r="D16" s="55"/>
    </row>
    <row r="17" spans="1:4" ht="15.75" hidden="1">
      <c r="A17" s="40" t="s">
        <v>150</v>
      </c>
      <c r="B17" s="54" t="s">
        <v>151</v>
      </c>
      <c r="C17" s="42" t="s">
        <v>147</v>
      </c>
      <c r="D17" s="55"/>
    </row>
    <row r="18" spans="1:4" ht="15.75" hidden="1">
      <c r="A18" s="40" t="s">
        <v>152</v>
      </c>
      <c r="B18" s="54" t="s">
        <v>153</v>
      </c>
      <c r="C18" s="42" t="s">
        <v>147</v>
      </c>
      <c r="D18" s="55"/>
    </row>
    <row r="19" spans="1:4" ht="15.75" hidden="1">
      <c r="A19" s="40" t="s">
        <v>154</v>
      </c>
      <c r="B19" s="54" t="s">
        <v>155</v>
      </c>
      <c r="C19" s="42" t="s">
        <v>147</v>
      </c>
      <c r="D19" s="55"/>
    </row>
    <row r="20" spans="1:4" ht="15.75" hidden="1">
      <c r="A20" s="40" t="s">
        <v>156</v>
      </c>
      <c r="B20" s="54" t="s">
        <v>157</v>
      </c>
      <c r="C20" s="42" t="s">
        <v>147</v>
      </c>
      <c r="D20" s="55"/>
    </row>
    <row r="21" spans="1:4" ht="15.75" hidden="1">
      <c r="A21" s="40" t="s">
        <v>158</v>
      </c>
      <c r="B21" s="56" t="s">
        <v>159</v>
      </c>
      <c r="C21" s="42" t="s">
        <v>147</v>
      </c>
      <c r="D21" s="55"/>
    </row>
    <row r="22" spans="1:4" ht="15.75" hidden="1">
      <c r="A22" s="40" t="s">
        <v>160</v>
      </c>
      <c r="B22" s="54" t="s">
        <v>161</v>
      </c>
      <c r="C22" s="42" t="s">
        <v>147</v>
      </c>
      <c r="D22" s="55"/>
    </row>
    <row r="23" spans="1:4" ht="15.75" hidden="1">
      <c r="A23" s="40" t="s">
        <v>162</v>
      </c>
      <c r="B23" s="54" t="s">
        <v>163</v>
      </c>
      <c r="C23" s="42" t="s">
        <v>147</v>
      </c>
      <c r="D23" s="55"/>
    </row>
    <row r="24" spans="1:4" ht="15.75">
      <c r="A24" s="40" t="s">
        <v>164</v>
      </c>
      <c r="B24" s="46" t="s">
        <v>165</v>
      </c>
      <c r="C24" s="42" t="s">
        <v>122</v>
      </c>
      <c r="D24" s="44">
        <f>278.673815036861/E13*E11</f>
        <v>116.42609364629988</v>
      </c>
    </row>
    <row r="25" spans="1:4" ht="31.5">
      <c r="A25" s="40" t="s">
        <v>166</v>
      </c>
      <c r="B25" s="46" t="s">
        <v>167</v>
      </c>
      <c r="C25" s="42" t="s">
        <v>122</v>
      </c>
      <c r="D25" s="44">
        <v>32.21942978700492</v>
      </c>
    </row>
    <row r="26" spans="1:4" ht="15.75">
      <c r="A26" s="40" t="s">
        <v>168</v>
      </c>
      <c r="B26" s="46" t="s">
        <v>169</v>
      </c>
      <c r="C26" s="42" t="s">
        <v>122</v>
      </c>
      <c r="D26" s="44">
        <v>17.28308</v>
      </c>
    </row>
    <row r="27" spans="1:4" ht="31.5">
      <c r="A27" s="40" t="s">
        <v>170</v>
      </c>
      <c r="B27" s="46" t="s">
        <v>171</v>
      </c>
      <c r="C27" s="42" t="s">
        <v>122</v>
      </c>
      <c r="D27" s="57"/>
    </row>
    <row r="28" spans="1:4" ht="15.75">
      <c r="A28" s="40" t="s">
        <v>172</v>
      </c>
      <c r="B28" s="46" t="s">
        <v>173</v>
      </c>
      <c r="C28" s="42" t="s">
        <v>122</v>
      </c>
      <c r="D28" s="44">
        <v>3.30427966804979</v>
      </c>
    </row>
    <row r="29" spans="1:4" ht="15.75">
      <c r="A29" s="40" t="s">
        <v>174</v>
      </c>
      <c r="B29" s="48" t="s">
        <v>175</v>
      </c>
      <c r="C29" s="42" t="s">
        <v>122</v>
      </c>
      <c r="D29" s="57"/>
    </row>
    <row r="30" spans="1:4" ht="15.75">
      <c r="A30" s="40" t="s">
        <v>176</v>
      </c>
      <c r="B30" s="48" t="s">
        <v>177</v>
      </c>
      <c r="C30" s="42" t="s">
        <v>122</v>
      </c>
      <c r="D30" s="57"/>
    </row>
    <row r="31" spans="1:4" ht="15.75">
      <c r="A31" s="40" t="s">
        <v>263</v>
      </c>
      <c r="B31" s="48" t="s">
        <v>183</v>
      </c>
      <c r="C31" s="42" t="s">
        <v>122</v>
      </c>
      <c r="D31" s="57">
        <f>D28-D29-D30</f>
        <v>3.30427966804979</v>
      </c>
    </row>
    <row r="32" spans="1:5" ht="15.75">
      <c r="A32" s="40" t="s">
        <v>178</v>
      </c>
      <c r="B32" s="46" t="s">
        <v>179</v>
      </c>
      <c r="C32" s="42" t="s">
        <v>122</v>
      </c>
      <c r="D32" s="44">
        <f>D33+D34+D35+D36+D37+D38</f>
        <v>31.576092463261443</v>
      </c>
      <c r="E32" s="76"/>
    </row>
    <row r="33" spans="1:4" ht="15.75">
      <c r="A33" s="40" t="s">
        <v>180</v>
      </c>
      <c r="B33" s="48" t="s">
        <v>175</v>
      </c>
      <c r="C33" s="42" t="s">
        <v>122</v>
      </c>
      <c r="D33" s="44">
        <f>57.245650327697/E13*E11</f>
        <v>23.91644670674998</v>
      </c>
    </row>
    <row r="34" spans="1:4" ht="15.75">
      <c r="A34" s="40" t="s">
        <v>181</v>
      </c>
      <c r="B34" s="48" t="s">
        <v>177</v>
      </c>
      <c r="C34" s="42" t="s">
        <v>122</v>
      </c>
      <c r="D34" s="44">
        <f>38.838-D25</f>
        <v>6.618570212995081</v>
      </c>
    </row>
    <row r="35" spans="1:4" ht="15.75">
      <c r="A35" s="40" t="s">
        <v>182</v>
      </c>
      <c r="B35" s="48" t="s">
        <v>183</v>
      </c>
      <c r="C35" s="42"/>
      <c r="D35" s="44">
        <v>0.03584</v>
      </c>
    </row>
    <row r="36" spans="1:4" ht="15.75">
      <c r="A36" s="40" t="s">
        <v>184</v>
      </c>
      <c r="B36" s="48" t="s">
        <v>185</v>
      </c>
      <c r="C36" s="42"/>
      <c r="D36" s="44">
        <v>1.00523554351638</v>
      </c>
    </row>
    <row r="37" spans="1:4" ht="15.75" hidden="1">
      <c r="A37" s="40" t="s">
        <v>264</v>
      </c>
      <c r="B37" s="48" t="s">
        <v>271</v>
      </c>
      <c r="C37" s="42"/>
      <c r="D37" s="44"/>
    </row>
    <row r="38" spans="1:4" ht="15.75" hidden="1">
      <c r="A38" s="40" t="s">
        <v>266</v>
      </c>
      <c r="B38" s="48" t="s">
        <v>267</v>
      </c>
      <c r="C38" s="42"/>
      <c r="D38" s="44"/>
    </row>
    <row r="39" spans="1:4" ht="31.5">
      <c r="A39" s="40" t="s">
        <v>186</v>
      </c>
      <c r="B39" s="51" t="s">
        <v>187</v>
      </c>
      <c r="C39" s="42" t="s">
        <v>122</v>
      </c>
      <c r="D39" s="57">
        <f>D40+D41</f>
        <v>22.1205400174473</v>
      </c>
    </row>
    <row r="40" spans="1:4" ht="31.5">
      <c r="A40" s="40" t="s">
        <v>188</v>
      </c>
      <c r="B40" s="52" t="s">
        <v>189</v>
      </c>
      <c r="C40" s="42" t="s">
        <v>122</v>
      </c>
      <c r="D40" s="57"/>
    </row>
    <row r="41" spans="1:4" ht="31.5">
      <c r="A41" s="40" t="s">
        <v>190</v>
      </c>
      <c r="B41" s="52" t="s">
        <v>191</v>
      </c>
      <c r="C41" s="42" t="s">
        <v>122</v>
      </c>
      <c r="D41" s="57">
        <v>22.1205400174473</v>
      </c>
    </row>
    <row r="42" spans="1:4" ht="31.5">
      <c r="A42" s="58" t="s">
        <v>192</v>
      </c>
      <c r="B42" s="51" t="s">
        <v>193</v>
      </c>
      <c r="C42" s="42" t="s">
        <v>122</v>
      </c>
      <c r="D42" s="59">
        <f>D47+D46+D43</f>
        <v>23.4489174273859</v>
      </c>
    </row>
    <row r="43" spans="1:4" ht="15.75">
      <c r="A43" s="58" t="s">
        <v>194</v>
      </c>
      <c r="B43" s="52" t="s">
        <v>195</v>
      </c>
      <c r="C43" s="42" t="s">
        <v>122</v>
      </c>
      <c r="D43" s="44"/>
    </row>
    <row r="44" spans="1:4" ht="31.5">
      <c r="A44" s="58" t="s">
        <v>196</v>
      </c>
      <c r="B44" s="52" t="s">
        <v>197</v>
      </c>
      <c r="C44" s="42" t="s">
        <v>122</v>
      </c>
      <c r="D44" s="49"/>
    </row>
    <row r="45" spans="1:4" ht="15.75">
      <c r="A45" s="58" t="s">
        <v>198</v>
      </c>
      <c r="B45" s="48" t="s">
        <v>199</v>
      </c>
      <c r="C45" s="42" t="s">
        <v>103</v>
      </c>
      <c r="D45" s="60"/>
    </row>
    <row r="46" spans="1:4" ht="31.5">
      <c r="A46" s="58" t="s">
        <v>200</v>
      </c>
      <c r="B46" s="48" t="s">
        <v>201</v>
      </c>
      <c r="C46" s="42" t="s">
        <v>122</v>
      </c>
      <c r="D46" s="44"/>
    </row>
    <row r="47" spans="1:4" ht="15.75">
      <c r="A47" s="58" t="s">
        <v>202</v>
      </c>
      <c r="B47" s="41" t="s">
        <v>203</v>
      </c>
      <c r="C47" s="42" t="s">
        <v>122</v>
      </c>
      <c r="D47" s="44">
        <v>23.4489174273859</v>
      </c>
    </row>
    <row r="48" spans="1:4" ht="47.25">
      <c r="A48" s="58" t="s">
        <v>204</v>
      </c>
      <c r="B48" s="46" t="s">
        <v>205</v>
      </c>
      <c r="C48" s="42" t="s">
        <v>122</v>
      </c>
      <c r="D48" s="57"/>
    </row>
    <row r="49" spans="1:4" ht="15.75">
      <c r="A49" s="61"/>
      <c r="B49" s="62" t="s">
        <v>206</v>
      </c>
      <c r="C49" s="63"/>
      <c r="D49" s="64"/>
    </row>
    <row r="50" spans="1:4" ht="31.5">
      <c r="A50" s="40" t="s">
        <v>207</v>
      </c>
      <c r="B50" s="41" t="s">
        <v>208</v>
      </c>
      <c r="C50" s="42" t="s">
        <v>122</v>
      </c>
      <c r="D50" s="59">
        <f>D6-D9</f>
        <v>4.721687285912992</v>
      </c>
    </row>
    <row r="51" spans="1:4" ht="15.75">
      <c r="A51" s="40" t="s">
        <v>209</v>
      </c>
      <c r="B51" s="41" t="s">
        <v>210</v>
      </c>
      <c r="C51" s="42" t="s">
        <v>122</v>
      </c>
      <c r="D51" s="57"/>
    </row>
    <row r="52" spans="1:4" ht="47.25">
      <c r="A52" s="40" t="s">
        <v>211</v>
      </c>
      <c r="B52" s="46" t="s">
        <v>212</v>
      </c>
      <c r="C52" s="42" t="s">
        <v>122</v>
      </c>
      <c r="D52" s="49"/>
    </row>
    <row r="53" spans="1:4" ht="15.75">
      <c r="A53" s="40" t="s">
        <v>213</v>
      </c>
      <c r="B53" s="66" t="s">
        <v>272</v>
      </c>
      <c r="C53" s="42" t="s">
        <v>215</v>
      </c>
      <c r="D53" s="69">
        <v>82.693</v>
      </c>
    </row>
    <row r="54" spans="1:4" ht="31.5">
      <c r="A54" s="40" t="s">
        <v>220</v>
      </c>
      <c r="B54" s="41" t="s">
        <v>273</v>
      </c>
      <c r="C54" s="42" t="s">
        <v>215</v>
      </c>
      <c r="D54" s="69">
        <v>34.548</v>
      </c>
    </row>
    <row r="55" spans="1:4" ht="15.75">
      <c r="A55" s="40" t="s">
        <v>224</v>
      </c>
      <c r="B55" s="41" t="s">
        <v>274</v>
      </c>
      <c r="C55" s="42" t="s">
        <v>215</v>
      </c>
      <c r="D55" s="69"/>
    </row>
    <row r="56" spans="1:4" ht="31.5">
      <c r="A56" s="40" t="s">
        <v>225</v>
      </c>
      <c r="B56" s="41" t="s">
        <v>275</v>
      </c>
      <c r="C56" s="42" t="s">
        <v>239</v>
      </c>
      <c r="D56" s="69"/>
    </row>
    <row r="57" spans="1:4" ht="31.5">
      <c r="A57" s="40" t="s">
        <v>231</v>
      </c>
      <c r="B57" s="41" t="s">
        <v>276</v>
      </c>
      <c r="C57" s="42" t="s">
        <v>239</v>
      </c>
      <c r="D57" s="69"/>
    </row>
    <row r="58" spans="1:4" ht="15.75">
      <c r="A58" s="40" t="s">
        <v>237</v>
      </c>
      <c r="B58" s="41" t="s">
        <v>277</v>
      </c>
      <c r="C58" s="42" t="s">
        <v>242</v>
      </c>
      <c r="D58" s="74">
        <v>2</v>
      </c>
    </row>
    <row r="59" spans="1:4" ht="15.75">
      <c r="A59" s="40" t="s">
        <v>240</v>
      </c>
      <c r="B59" s="41" t="s">
        <v>278</v>
      </c>
      <c r="C59" s="42" t="s">
        <v>242</v>
      </c>
      <c r="D59" s="69"/>
    </row>
    <row r="60" spans="1:4" ht="31.5">
      <c r="A60" s="40" t="s">
        <v>243</v>
      </c>
      <c r="B60" s="41" t="s">
        <v>279</v>
      </c>
      <c r="C60" s="42" t="s">
        <v>280</v>
      </c>
      <c r="D60" s="69"/>
    </row>
  </sheetData>
  <sheetProtection/>
  <mergeCells count="5">
    <mergeCell ref="A1:D1"/>
    <mergeCell ref="A2:A3"/>
    <mergeCell ref="B2:B3"/>
    <mergeCell ref="C2:C3"/>
    <mergeCell ref="D2:D3"/>
  </mergeCells>
  <dataValidations count="1">
    <dataValidation type="decimal" allowBlank="1" showErrorMessage="1" errorTitle="Ошибка" error="Допускается ввод только неотрицательных чисел!" sqref="D53:D60">
      <formula1>0</formula1>
      <formula2>9.99999999999999E+23</formula2>
    </dataValidation>
  </dataValidations>
  <hyperlinks>
    <hyperlink ref="B49" location="'ХВС показатели (питьевая)'!A1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PageLayoutView="0" workbookViewId="0" topLeftCell="A1">
      <selection activeCell="B5" sqref="B5"/>
    </sheetView>
  </sheetViews>
  <sheetFormatPr defaultColWidth="22.28125" defaultRowHeight="12.75"/>
  <cols>
    <col min="1" max="1" width="22.28125" style="0" customWidth="1"/>
    <col min="2" max="2" width="70.00390625" style="0" customWidth="1"/>
    <col min="3" max="3" width="14.8515625" style="0" customWidth="1"/>
    <col min="4" max="4" width="18.140625" style="0" customWidth="1"/>
    <col min="5" max="6" width="22.28125" style="75" customWidth="1"/>
  </cols>
  <sheetData>
    <row r="1" spans="1:4" ht="80.25" customHeight="1">
      <c r="A1" s="35" t="s">
        <v>281</v>
      </c>
      <c r="B1" s="35"/>
      <c r="C1" s="35"/>
      <c r="D1" s="35"/>
    </row>
    <row r="2" spans="1:4" ht="15" customHeight="1">
      <c r="A2" s="36" t="s">
        <v>113</v>
      </c>
      <c r="B2" s="36" t="s">
        <v>114</v>
      </c>
      <c r="C2" s="36" t="s">
        <v>115</v>
      </c>
      <c r="D2" s="37" t="s">
        <v>116</v>
      </c>
    </row>
    <row r="3" spans="1:4" ht="82.5" customHeight="1">
      <c r="A3" s="36"/>
      <c r="B3" s="36"/>
      <c r="C3" s="36"/>
      <c r="D3" s="38"/>
    </row>
    <row r="4" spans="1:4" ht="15" customHeight="1">
      <c r="A4" s="39">
        <v>1</v>
      </c>
      <c r="B4" s="39">
        <v>2</v>
      </c>
      <c r="C4" s="39">
        <v>3</v>
      </c>
      <c r="D4" s="39">
        <v>4</v>
      </c>
    </row>
    <row r="5" spans="1:4" ht="15" customHeight="1">
      <c r="A5" s="40" t="s">
        <v>117</v>
      </c>
      <c r="B5" s="41" t="s">
        <v>0</v>
      </c>
      <c r="C5" s="42" t="s">
        <v>118</v>
      </c>
      <c r="D5" s="43" t="s">
        <v>262</v>
      </c>
    </row>
    <row r="6" spans="1:4" ht="15" customHeight="1">
      <c r="A6" s="40" t="s">
        <v>120</v>
      </c>
      <c r="B6" s="41" t="s">
        <v>121</v>
      </c>
      <c r="C6" s="42" t="s">
        <v>122</v>
      </c>
      <c r="D6" s="44">
        <v>5674.704457982119</v>
      </c>
    </row>
    <row r="7" spans="1:4" ht="15" customHeight="1" hidden="1">
      <c r="A7" s="40" t="s">
        <v>123</v>
      </c>
      <c r="B7" s="41" t="s">
        <v>124</v>
      </c>
      <c r="C7" s="42" t="s">
        <v>122</v>
      </c>
      <c r="D7" s="44">
        <v>261.0455365150583</v>
      </c>
    </row>
    <row r="8" spans="1:4" ht="15" customHeight="1" hidden="1">
      <c r="A8" s="40" t="s">
        <v>125</v>
      </c>
      <c r="B8" s="41" t="s">
        <v>126</v>
      </c>
      <c r="C8" s="42" t="s">
        <v>122</v>
      </c>
      <c r="D8" s="44">
        <v>0.664503767227203</v>
      </c>
    </row>
    <row r="9" spans="1:4" ht="15" customHeight="1">
      <c r="A9" s="40">
        <v>3</v>
      </c>
      <c r="B9" s="41" t="s">
        <v>127</v>
      </c>
      <c r="C9" s="42" t="s">
        <v>122</v>
      </c>
      <c r="D9" s="45">
        <f>D10+D14+D27+D28+D29+D31+D36+D46+D49+D55</f>
        <v>5674.704457982119</v>
      </c>
    </row>
    <row r="10" spans="1:4" ht="15" customHeight="1">
      <c r="A10" s="40" t="s">
        <v>128</v>
      </c>
      <c r="B10" s="46" t="s">
        <v>129</v>
      </c>
      <c r="C10" s="42" t="s">
        <v>122</v>
      </c>
      <c r="D10" s="47">
        <f>D12</f>
        <v>0</v>
      </c>
    </row>
    <row r="11" spans="1:4" ht="15" customHeight="1" hidden="1">
      <c r="A11" s="40" t="s">
        <v>130</v>
      </c>
      <c r="B11" s="48" t="s">
        <v>131</v>
      </c>
      <c r="C11" s="42" t="s">
        <v>122</v>
      </c>
      <c r="D11" s="49"/>
    </row>
    <row r="12" spans="1:4" ht="15" customHeight="1" hidden="1">
      <c r="A12" s="40" t="s">
        <v>132</v>
      </c>
      <c r="B12" s="48" t="s">
        <v>133</v>
      </c>
      <c r="C12" s="42" t="s">
        <v>122</v>
      </c>
      <c r="D12" s="44"/>
    </row>
    <row r="13" spans="1:4" ht="15" customHeight="1" hidden="1">
      <c r="A13" s="40" t="s">
        <v>134</v>
      </c>
      <c r="B13" s="48" t="s">
        <v>135</v>
      </c>
      <c r="C13" s="42" t="s">
        <v>122</v>
      </c>
      <c r="D13" s="49"/>
    </row>
    <row r="14" spans="1:4" ht="15" customHeight="1">
      <c r="A14" s="40" t="s">
        <v>136</v>
      </c>
      <c r="B14" s="46" t="s">
        <v>137</v>
      </c>
      <c r="C14" s="42" t="s">
        <v>122</v>
      </c>
      <c r="D14" s="44">
        <v>3062.5990389874337</v>
      </c>
    </row>
    <row r="15" spans="1:5" ht="15" customHeight="1">
      <c r="A15" s="40" t="s">
        <v>138</v>
      </c>
      <c r="B15" s="48" t="s">
        <v>139</v>
      </c>
      <c r="C15" s="42" t="s">
        <v>76</v>
      </c>
      <c r="D15" s="50">
        <v>1.31120424280361</v>
      </c>
      <c r="E15" s="75">
        <v>6101.8</v>
      </c>
    </row>
    <row r="16" spans="1:6" ht="15" customHeight="1">
      <c r="A16" s="40" t="s">
        <v>140</v>
      </c>
      <c r="B16" s="48" t="s">
        <v>141</v>
      </c>
      <c r="C16" s="42" t="s">
        <v>142</v>
      </c>
      <c r="D16" s="44">
        <v>2319.8380817961124</v>
      </c>
      <c r="E16" s="75">
        <v>42771.379</v>
      </c>
      <c r="F16" s="75">
        <f>E15/E16</f>
        <v>0.1426608199843171</v>
      </c>
    </row>
    <row r="17" spans="1:4" ht="22.5" customHeight="1">
      <c r="A17" s="40" t="s">
        <v>143</v>
      </c>
      <c r="B17" s="51" t="s">
        <v>144</v>
      </c>
      <c r="C17" s="42" t="s">
        <v>122</v>
      </c>
      <c r="D17" s="49"/>
    </row>
    <row r="18" spans="1:5" ht="15.75" hidden="1">
      <c r="A18" s="40" t="s">
        <v>145</v>
      </c>
      <c r="B18" s="52" t="s">
        <v>146</v>
      </c>
      <c r="C18" s="42" t="s">
        <v>147</v>
      </c>
      <c r="D18" s="53">
        <v>0</v>
      </c>
      <c r="E18" s="75">
        <f>D9/E15</f>
        <v>0.9300049916388801</v>
      </c>
    </row>
    <row r="19" spans="1:4" ht="15.75" hidden="1">
      <c r="A19" s="40" t="s">
        <v>148</v>
      </c>
      <c r="B19" s="54" t="s">
        <v>149</v>
      </c>
      <c r="C19" s="42" t="s">
        <v>147</v>
      </c>
      <c r="D19" s="55"/>
    </row>
    <row r="20" spans="1:4" ht="15.75" hidden="1">
      <c r="A20" s="40" t="s">
        <v>150</v>
      </c>
      <c r="B20" s="54" t="s">
        <v>151</v>
      </c>
      <c r="C20" s="42" t="s">
        <v>147</v>
      </c>
      <c r="D20" s="55"/>
    </row>
    <row r="21" spans="1:4" ht="15.75" hidden="1">
      <c r="A21" s="40" t="s">
        <v>152</v>
      </c>
      <c r="B21" s="54" t="s">
        <v>153</v>
      </c>
      <c r="C21" s="42" t="s">
        <v>147</v>
      </c>
      <c r="D21" s="55"/>
    </row>
    <row r="22" spans="1:4" ht="15.75" hidden="1">
      <c r="A22" s="40" t="s">
        <v>154</v>
      </c>
      <c r="B22" s="54" t="s">
        <v>155</v>
      </c>
      <c r="C22" s="42" t="s">
        <v>147</v>
      </c>
      <c r="D22" s="55"/>
    </row>
    <row r="23" spans="1:4" ht="15.75" hidden="1">
      <c r="A23" s="40" t="s">
        <v>156</v>
      </c>
      <c r="B23" s="54" t="s">
        <v>157</v>
      </c>
      <c r="C23" s="42" t="s">
        <v>147</v>
      </c>
      <c r="D23" s="55"/>
    </row>
    <row r="24" spans="1:4" ht="15.75" hidden="1">
      <c r="A24" s="40" t="s">
        <v>158</v>
      </c>
      <c r="B24" s="56" t="s">
        <v>159</v>
      </c>
      <c r="C24" s="42" t="s">
        <v>147</v>
      </c>
      <c r="D24" s="55"/>
    </row>
    <row r="25" spans="1:4" ht="15.75" hidden="1">
      <c r="A25" s="40" t="s">
        <v>160</v>
      </c>
      <c r="B25" s="54" t="s">
        <v>161</v>
      </c>
      <c r="C25" s="42" t="s">
        <v>147</v>
      </c>
      <c r="D25" s="55"/>
    </row>
    <row r="26" spans="1:4" ht="15.75" hidden="1">
      <c r="A26" s="40" t="s">
        <v>162</v>
      </c>
      <c r="B26" s="54" t="s">
        <v>163</v>
      </c>
      <c r="C26" s="42" t="s">
        <v>147</v>
      </c>
      <c r="D26" s="55"/>
    </row>
    <row r="27" spans="1:4" ht="15.75">
      <c r="A27" s="40" t="s">
        <v>164</v>
      </c>
      <c r="B27" s="46" t="s">
        <v>165</v>
      </c>
      <c r="C27" s="42" t="s">
        <v>122</v>
      </c>
      <c r="D27" s="44">
        <f>1903.07251578947/E16*E15</f>
        <v>271.493885592143</v>
      </c>
    </row>
    <row r="28" spans="1:4" ht="31.5">
      <c r="A28" s="40" t="s">
        <v>166</v>
      </c>
      <c r="B28" s="46" t="s">
        <v>167</v>
      </c>
      <c r="C28" s="42" t="s">
        <v>122</v>
      </c>
      <c r="D28" s="44">
        <f>564.375185282526/E16*E15</f>
        <v>80.51422671120604</v>
      </c>
    </row>
    <row r="29" spans="1:4" ht="15.75">
      <c r="A29" s="40" t="s">
        <v>168</v>
      </c>
      <c r="B29" s="46" t="s">
        <v>169</v>
      </c>
      <c r="C29" s="42" t="s">
        <v>122</v>
      </c>
      <c r="D29" s="44">
        <f>155.73288/E16*E15</f>
        <v>22.21698035931925</v>
      </c>
    </row>
    <row r="30" spans="1:4" ht="31.5">
      <c r="A30" s="40" t="s">
        <v>170</v>
      </c>
      <c r="B30" s="46" t="s">
        <v>171</v>
      </c>
      <c r="C30" s="42" t="s">
        <v>122</v>
      </c>
      <c r="D30" s="57"/>
    </row>
    <row r="31" spans="1:4" ht="15.75">
      <c r="A31" s="40" t="s">
        <v>172</v>
      </c>
      <c r="B31" s="46" t="s">
        <v>173</v>
      </c>
      <c r="C31" s="42" t="s">
        <v>122</v>
      </c>
      <c r="D31" s="44">
        <f>D32+D33+D34+D35</f>
        <v>250.68332550019176</v>
      </c>
    </row>
    <row r="32" spans="1:4" ht="15.75">
      <c r="A32" s="40" t="s">
        <v>174</v>
      </c>
      <c r="B32" s="48" t="s">
        <v>175</v>
      </c>
      <c r="C32" s="42" t="s">
        <v>122</v>
      </c>
      <c r="D32" s="57">
        <f>1176.76010145455/E16*E15</f>
        <v>167.87756099833427</v>
      </c>
    </row>
    <row r="33" spans="1:4" ht="15.75">
      <c r="A33" s="40" t="s">
        <v>176</v>
      </c>
      <c r="B33" s="48" t="s">
        <v>177</v>
      </c>
      <c r="C33" s="42" t="s">
        <v>122</v>
      </c>
      <c r="D33" s="57">
        <f>314.748024336047/E16*E15</f>
        <v>44.902211240224254</v>
      </c>
    </row>
    <row r="34" spans="1:4" ht="15.75">
      <c r="A34" s="40" t="s">
        <v>263</v>
      </c>
      <c r="B34" s="48" t="s">
        <v>183</v>
      </c>
      <c r="C34" s="42" t="s">
        <v>122</v>
      </c>
      <c r="D34" s="57">
        <f>168.16/E16*E15</f>
        <v>23.989843488562762</v>
      </c>
    </row>
    <row r="35" spans="1:4" ht="15.75">
      <c r="A35" s="40" t="s">
        <v>282</v>
      </c>
      <c r="B35" s="48" t="s">
        <v>283</v>
      </c>
      <c r="C35" s="42" t="s">
        <v>122</v>
      </c>
      <c r="D35" s="57">
        <f>97.53/E16*E15</f>
        <v>13.913709773070446</v>
      </c>
    </row>
    <row r="36" spans="1:5" ht="15.75">
      <c r="A36" s="40" t="s">
        <v>178</v>
      </c>
      <c r="B36" s="46" t="s">
        <v>179</v>
      </c>
      <c r="C36" s="42" t="s">
        <v>122</v>
      </c>
      <c r="D36" s="44">
        <f>D37+D38+D39+D40+D41+D42+D43+D44+D45</f>
        <v>1825.6317205308549</v>
      </c>
      <c r="E36" s="76"/>
    </row>
    <row r="37" spans="1:4" ht="15.75">
      <c r="A37" s="40" t="s">
        <v>180</v>
      </c>
      <c r="B37" s="48" t="s">
        <v>175</v>
      </c>
      <c r="C37" s="42" t="s">
        <v>122</v>
      </c>
      <c r="D37" s="44">
        <f>192.584715/E16*E15</f>
        <v>27.47429335834601</v>
      </c>
    </row>
    <row r="38" spans="1:4" ht="15.75">
      <c r="A38" s="40" t="s">
        <v>181</v>
      </c>
      <c r="B38" s="48" t="s">
        <v>177</v>
      </c>
      <c r="C38" s="42" t="s">
        <v>122</v>
      </c>
      <c r="D38" s="44">
        <f>56.11203/E16*E15</f>
        <v>8.0049882107846</v>
      </c>
    </row>
    <row r="39" spans="1:4" ht="15.75">
      <c r="A39" s="40" t="s">
        <v>182</v>
      </c>
      <c r="B39" s="48" t="s">
        <v>183</v>
      </c>
      <c r="C39" s="42" t="s">
        <v>122</v>
      </c>
      <c r="D39" s="44">
        <f>8.434523/E16*E15</f>
        <v>1.2032759673565823</v>
      </c>
    </row>
    <row r="40" spans="1:4" ht="15.75">
      <c r="A40" s="40" t="s">
        <v>184</v>
      </c>
      <c r="B40" s="48" t="s">
        <v>185</v>
      </c>
      <c r="C40" s="42" t="s">
        <v>122</v>
      </c>
      <c r="D40" s="44">
        <f>79.40462/E16*E15</f>
        <v>11.327928199743104</v>
      </c>
    </row>
    <row r="41" spans="1:4" ht="15.75">
      <c r="A41" s="40" t="s">
        <v>264</v>
      </c>
      <c r="B41" s="48" t="s">
        <v>284</v>
      </c>
      <c r="C41" s="42" t="s">
        <v>122</v>
      </c>
      <c r="D41" s="44">
        <f>20.813642078793/E16*E15</f>
        <v>2.969291245820695</v>
      </c>
    </row>
    <row r="42" spans="1:4" ht="15.75">
      <c r="A42" s="40" t="s">
        <v>266</v>
      </c>
      <c r="B42" s="48" t="s">
        <v>265</v>
      </c>
      <c r="C42" s="42" t="s">
        <v>122</v>
      </c>
      <c r="D42" s="44">
        <f>12013.43239/E16*E15</f>
        <v>1713.8461155835541</v>
      </c>
    </row>
    <row r="43" spans="1:4" ht="15.75">
      <c r="A43" s="40" t="s">
        <v>285</v>
      </c>
      <c r="B43" s="48" t="s">
        <v>267</v>
      </c>
      <c r="C43" s="42" t="s">
        <v>122</v>
      </c>
      <c r="D43" s="44">
        <f>46.0771123893036/E16*E15</f>
        <v>6.573398635967587</v>
      </c>
    </row>
    <row r="44" spans="1:4" ht="15.75">
      <c r="A44" s="40" t="s">
        <v>286</v>
      </c>
      <c r="B44" s="48" t="s">
        <v>287</v>
      </c>
      <c r="C44" s="42" t="s">
        <v>122</v>
      </c>
      <c r="D44" s="44">
        <f>377.169249501695/E16*E15</f>
        <v>53.80727440678128</v>
      </c>
    </row>
    <row r="45" spans="1:4" ht="15.75">
      <c r="A45" s="40" t="s">
        <v>288</v>
      </c>
      <c r="B45" s="48" t="s">
        <v>289</v>
      </c>
      <c r="C45" s="42" t="s">
        <v>122</v>
      </c>
      <c r="D45" s="44">
        <f>2.98018/E16*E15</f>
        <v>0.42515492250086206</v>
      </c>
    </row>
    <row r="46" spans="1:4" ht="31.5">
      <c r="A46" s="40" t="s">
        <v>186</v>
      </c>
      <c r="B46" s="51" t="s">
        <v>187</v>
      </c>
      <c r="C46" s="42" t="s">
        <v>122</v>
      </c>
      <c r="D46" s="57">
        <f>D47+D48</f>
        <v>161.5652803009695</v>
      </c>
    </row>
    <row r="47" spans="1:4" ht="31.5">
      <c r="A47" s="40" t="s">
        <v>188</v>
      </c>
      <c r="B47" s="52" t="s">
        <v>189</v>
      </c>
      <c r="C47" s="42" t="s">
        <v>122</v>
      </c>
      <c r="D47" s="57"/>
    </row>
    <row r="48" spans="1:4" ht="31.5">
      <c r="A48" s="40" t="s">
        <v>190</v>
      </c>
      <c r="B48" s="52" t="s">
        <v>191</v>
      </c>
      <c r="C48" s="42" t="s">
        <v>122</v>
      </c>
      <c r="D48" s="57">
        <f>1132.51333/E16*E15</f>
        <v>161.5652803009695</v>
      </c>
    </row>
    <row r="49" spans="1:4" ht="31.5">
      <c r="A49" s="58" t="s">
        <v>192</v>
      </c>
      <c r="B49" s="51" t="s">
        <v>193</v>
      </c>
      <c r="C49" s="42" t="s">
        <v>122</v>
      </c>
      <c r="D49" s="59">
        <f>D54+D53+D50</f>
        <v>0</v>
      </c>
    </row>
    <row r="50" spans="1:4" ht="15.75">
      <c r="A50" s="58" t="s">
        <v>194</v>
      </c>
      <c r="B50" s="52" t="s">
        <v>195</v>
      </c>
      <c r="C50" s="42" t="s">
        <v>122</v>
      </c>
      <c r="D50" s="44"/>
    </row>
    <row r="51" spans="1:4" ht="31.5">
      <c r="A51" s="58" t="s">
        <v>196</v>
      </c>
      <c r="B51" s="52" t="s">
        <v>197</v>
      </c>
      <c r="C51" s="42" t="s">
        <v>122</v>
      </c>
      <c r="D51" s="49"/>
    </row>
    <row r="52" spans="1:4" ht="15.75">
      <c r="A52" s="58" t="s">
        <v>198</v>
      </c>
      <c r="B52" s="48" t="s">
        <v>199</v>
      </c>
      <c r="C52" s="42" t="s">
        <v>103</v>
      </c>
      <c r="D52" s="60"/>
    </row>
    <row r="53" spans="1:4" ht="31.5">
      <c r="A53" s="58" t="s">
        <v>200</v>
      </c>
      <c r="B53" s="48" t="s">
        <v>201</v>
      </c>
      <c r="C53" s="42" t="s">
        <v>122</v>
      </c>
      <c r="D53" s="44"/>
    </row>
    <row r="54" spans="1:4" ht="15.75">
      <c r="A54" s="58" t="s">
        <v>202</v>
      </c>
      <c r="B54" s="41" t="s">
        <v>203</v>
      </c>
      <c r="C54" s="42" t="s">
        <v>122</v>
      </c>
      <c r="D54" s="44">
        <f>109.24218/E16*E14</f>
        <v>0</v>
      </c>
    </row>
    <row r="55" spans="1:4" ht="47.25">
      <c r="A55" s="58" t="s">
        <v>204</v>
      </c>
      <c r="B55" s="46" t="s">
        <v>205</v>
      </c>
      <c r="C55" s="42" t="s">
        <v>122</v>
      </c>
      <c r="D55" s="57"/>
    </row>
    <row r="56" spans="1:4" ht="15.75">
      <c r="A56" s="61"/>
      <c r="B56" s="62" t="s">
        <v>206</v>
      </c>
      <c r="C56" s="63"/>
      <c r="D56" s="64"/>
    </row>
    <row r="57" spans="1:4" ht="31.5">
      <c r="A57" s="40" t="s">
        <v>207</v>
      </c>
      <c r="B57" s="41" t="s">
        <v>208</v>
      </c>
      <c r="C57" s="42" t="s">
        <v>122</v>
      </c>
      <c r="D57" s="59">
        <f>D6-D9</f>
        <v>0</v>
      </c>
    </row>
    <row r="58" spans="1:4" ht="15.75">
      <c r="A58" s="40" t="s">
        <v>209</v>
      </c>
      <c r="B58" s="41" t="s">
        <v>210</v>
      </c>
      <c r="C58" s="42" t="s">
        <v>122</v>
      </c>
      <c r="D58" s="57"/>
    </row>
    <row r="59" spans="1:4" ht="47.25">
      <c r="A59" s="40" t="s">
        <v>211</v>
      </c>
      <c r="B59" s="46" t="s">
        <v>212</v>
      </c>
      <c r="C59" s="42" t="s">
        <v>122</v>
      </c>
      <c r="D59" s="49"/>
    </row>
    <row r="60" spans="1:4" ht="15.75">
      <c r="A60" s="40" t="s">
        <v>213</v>
      </c>
      <c r="B60" s="41" t="s">
        <v>214</v>
      </c>
      <c r="C60" s="42" t="s">
        <v>215</v>
      </c>
      <c r="D60" s="53">
        <v>0</v>
      </c>
    </row>
    <row r="61" spans="1:4" ht="15.75">
      <c r="A61" s="40" t="s">
        <v>216</v>
      </c>
      <c r="B61" s="46" t="s">
        <v>217</v>
      </c>
      <c r="C61" s="42" t="s">
        <v>215</v>
      </c>
      <c r="D61" s="57"/>
    </row>
    <row r="62" spans="1:4" ht="15.75">
      <c r="A62" s="40" t="s">
        <v>218</v>
      </c>
      <c r="B62" s="46" t="s">
        <v>219</v>
      </c>
      <c r="C62" s="42" t="s">
        <v>215</v>
      </c>
      <c r="D62" s="57"/>
    </row>
    <row r="63" spans="1:4" ht="15.75">
      <c r="A63" s="40" t="s">
        <v>220</v>
      </c>
      <c r="B63" s="41" t="s">
        <v>221</v>
      </c>
      <c r="C63" s="42" t="s">
        <v>215</v>
      </c>
      <c r="D63" s="53">
        <f>D64</f>
        <v>43064.1</v>
      </c>
    </row>
    <row r="64" spans="1:4" ht="15.75">
      <c r="A64" s="40" t="s">
        <v>222</v>
      </c>
      <c r="B64" s="46" t="s">
        <v>131</v>
      </c>
      <c r="C64" s="42" t="s">
        <v>215</v>
      </c>
      <c r="D64" s="57">
        <v>43064.1</v>
      </c>
    </row>
    <row r="65" spans="1:4" ht="15.75">
      <c r="A65" s="40" t="s">
        <v>223</v>
      </c>
      <c r="B65" s="46" t="s">
        <v>133</v>
      </c>
      <c r="C65" s="42" t="s">
        <v>215</v>
      </c>
      <c r="D65" s="57"/>
    </row>
    <row r="66" spans="1:4" ht="15.75">
      <c r="A66" s="40" t="s">
        <v>224</v>
      </c>
      <c r="B66" s="41" t="s">
        <v>50</v>
      </c>
      <c r="C66" s="42" t="s">
        <v>215</v>
      </c>
      <c r="D66" s="65"/>
    </row>
    <row r="67" spans="1:4" ht="15.75">
      <c r="A67" s="40" t="s">
        <v>225</v>
      </c>
      <c r="B67" s="66" t="s">
        <v>226</v>
      </c>
      <c r="C67" s="42" t="s">
        <v>215</v>
      </c>
      <c r="D67" s="67">
        <f>D68</f>
        <v>6101.8</v>
      </c>
    </row>
    <row r="68" spans="1:4" ht="15.75">
      <c r="A68" s="40" t="s">
        <v>227</v>
      </c>
      <c r="B68" s="46" t="s">
        <v>228</v>
      </c>
      <c r="C68" s="42" t="s">
        <v>215</v>
      </c>
      <c r="D68" s="65">
        <v>6101.8</v>
      </c>
    </row>
    <row r="69" spans="1:4" ht="15.75">
      <c r="A69" s="40" t="s">
        <v>229</v>
      </c>
      <c r="B69" s="51" t="s">
        <v>230</v>
      </c>
      <c r="C69" s="42" t="s">
        <v>215</v>
      </c>
      <c r="D69" s="65"/>
    </row>
    <row r="70" spans="1:4" ht="15.75">
      <c r="A70" s="40" t="s">
        <v>231</v>
      </c>
      <c r="B70" s="66" t="s">
        <v>232</v>
      </c>
      <c r="C70" s="42" t="s">
        <v>101</v>
      </c>
      <c r="D70" s="65"/>
    </row>
    <row r="71" spans="1:4" ht="15.75">
      <c r="A71" s="40" t="s">
        <v>233</v>
      </c>
      <c r="B71" s="46" t="s">
        <v>234</v>
      </c>
      <c r="C71" s="42" t="s">
        <v>101</v>
      </c>
      <c r="D71" s="65"/>
    </row>
    <row r="72" spans="1:4" ht="15.75">
      <c r="A72" s="40" t="s">
        <v>235</v>
      </c>
      <c r="B72" s="51" t="s">
        <v>236</v>
      </c>
      <c r="C72" s="42" t="s">
        <v>101</v>
      </c>
      <c r="D72" s="65">
        <v>0.6797332348754531</v>
      </c>
    </row>
    <row r="73" spans="1:4" ht="15.75">
      <c r="A73" s="40" t="s">
        <v>237</v>
      </c>
      <c r="B73" s="68" t="s">
        <v>238</v>
      </c>
      <c r="C73" s="42" t="s">
        <v>239</v>
      </c>
      <c r="D73" s="69"/>
    </row>
    <row r="74" spans="1:4" ht="15.75">
      <c r="A74" s="40" t="s">
        <v>240</v>
      </c>
      <c r="B74" s="68" t="s">
        <v>241</v>
      </c>
      <c r="C74" s="42" t="s">
        <v>242</v>
      </c>
      <c r="D74" s="69"/>
    </row>
    <row r="75" spans="1:4" ht="15.75">
      <c r="A75" s="40" t="s">
        <v>243</v>
      </c>
      <c r="B75" s="68" t="s">
        <v>244</v>
      </c>
      <c r="C75" s="42" t="s">
        <v>242</v>
      </c>
      <c r="D75" s="60">
        <v>1</v>
      </c>
    </row>
    <row r="76" spans="1:4" ht="31.5">
      <c r="A76" s="40" t="s">
        <v>245</v>
      </c>
      <c r="B76" s="68" t="s">
        <v>53</v>
      </c>
      <c r="C76" s="42" t="s">
        <v>103</v>
      </c>
      <c r="D76" s="60"/>
    </row>
    <row r="77" spans="1:4" ht="31.5">
      <c r="A77" s="40" t="s">
        <v>246</v>
      </c>
      <c r="B77" s="66" t="s">
        <v>247</v>
      </c>
      <c r="C77" s="42" t="s">
        <v>248</v>
      </c>
      <c r="D77" s="69"/>
    </row>
    <row r="78" spans="1:4" ht="15.75">
      <c r="A78" s="40" t="s">
        <v>249</v>
      </c>
      <c r="B78" s="46" t="s">
        <v>250</v>
      </c>
      <c r="C78" s="42" t="s">
        <v>248</v>
      </c>
      <c r="D78" s="69"/>
    </row>
    <row r="79" spans="1:4" ht="15.75">
      <c r="A79" s="40" t="s">
        <v>251</v>
      </c>
      <c r="B79" s="51" t="s">
        <v>252</v>
      </c>
      <c r="C79" s="42" t="s">
        <v>248</v>
      </c>
      <c r="D79" s="69"/>
    </row>
    <row r="80" spans="1:4" ht="15.75">
      <c r="A80" s="40" t="s">
        <v>253</v>
      </c>
      <c r="B80" s="51" t="s">
        <v>254</v>
      </c>
      <c r="C80" s="42" t="s">
        <v>248</v>
      </c>
      <c r="D80" s="69"/>
    </row>
    <row r="81" spans="1:4" ht="15.75">
      <c r="A81" s="58" t="s">
        <v>255</v>
      </c>
      <c r="B81" s="66" t="s">
        <v>256</v>
      </c>
      <c r="C81" s="42" t="s">
        <v>215</v>
      </c>
      <c r="D81" s="57">
        <v>42771.379</v>
      </c>
    </row>
    <row r="82" spans="1:4" ht="15.75">
      <c r="A82" s="58" t="s">
        <v>257</v>
      </c>
      <c r="B82" s="52" t="s">
        <v>258</v>
      </c>
      <c r="C82" s="42" t="s">
        <v>215</v>
      </c>
      <c r="D82" s="57"/>
    </row>
    <row r="83" spans="1:4" ht="31.5">
      <c r="A83" s="40" t="s">
        <v>259</v>
      </c>
      <c r="B83" s="70" t="s">
        <v>260</v>
      </c>
      <c r="C83" s="71" t="s">
        <v>118</v>
      </c>
      <c r="D83" s="72" t="s">
        <v>118</v>
      </c>
    </row>
    <row r="85" ht="15.75">
      <c r="D85" s="73"/>
    </row>
  </sheetData>
  <sheetProtection/>
  <mergeCells count="5">
    <mergeCell ref="A1:D1"/>
    <mergeCell ref="A2:A3"/>
    <mergeCell ref="B2:B3"/>
    <mergeCell ref="C2:C3"/>
    <mergeCell ref="D2:D3"/>
  </mergeCells>
  <hyperlinks>
    <hyperlink ref="B56" location="'ХВС показатели (питьевая)'!A1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PageLayoutView="0" workbookViewId="0" topLeftCell="A1">
      <selection activeCell="C2" sqref="C2:C3"/>
    </sheetView>
  </sheetViews>
  <sheetFormatPr defaultColWidth="22.28125" defaultRowHeight="12.75"/>
  <cols>
    <col min="1" max="1" width="7.28125" style="0" bestFit="1" customWidth="1"/>
    <col min="2" max="2" width="70.00390625" style="0" customWidth="1"/>
    <col min="3" max="3" width="14.8515625" style="0" customWidth="1"/>
    <col min="4" max="4" width="18.140625" style="0" customWidth="1"/>
    <col min="5" max="6" width="22.28125" style="75" customWidth="1"/>
  </cols>
  <sheetData>
    <row r="1" spans="1:4" ht="80.25" customHeight="1">
      <c r="A1" s="35" t="s">
        <v>290</v>
      </c>
      <c r="B1" s="35"/>
      <c r="C1" s="35"/>
      <c r="D1" s="35"/>
    </row>
    <row r="2" spans="1:4" ht="15" customHeight="1">
      <c r="A2" s="36" t="s">
        <v>113</v>
      </c>
      <c r="B2" s="36" t="s">
        <v>114</v>
      </c>
      <c r="C2" s="36" t="s">
        <v>115</v>
      </c>
      <c r="D2" s="37" t="s">
        <v>116</v>
      </c>
    </row>
    <row r="3" spans="1:4" ht="82.5" customHeight="1">
      <c r="A3" s="36"/>
      <c r="B3" s="36"/>
      <c r="C3" s="36"/>
      <c r="D3" s="38"/>
    </row>
    <row r="4" spans="1:4" ht="15" customHeight="1">
      <c r="A4" s="39">
        <v>1</v>
      </c>
      <c r="B4" s="39">
        <v>2</v>
      </c>
      <c r="C4" s="39">
        <v>3</v>
      </c>
      <c r="D4" s="39">
        <v>4</v>
      </c>
    </row>
    <row r="5" spans="1:4" ht="15" customHeight="1">
      <c r="A5" s="40" t="s">
        <v>117</v>
      </c>
      <c r="B5" s="41" t="s">
        <v>0</v>
      </c>
      <c r="C5" s="42" t="s">
        <v>118</v>
      </c>
      <c r="D5" s="43" t="s">
        <v>269</v>
      </c>
    </row>
    <row r="6" spans="1:4" ht="15" customHeight="1">
      <c r="A6" s="40" t="s">
        <v>120</v>
      </c>
      <c r="B6" s="41" t="s">
        <v>121</v>
      </c>
      <c r="C6" s="42" t="s">
        <v>122</v>
      </c>
      <c r="D6" s="44">
        <v>74.73938874000001</v>
      </c>
    </row>
    <row r="7" spans="1:4" ht="15" customHeight="1" hidden="1">
      <c r="A7" s="40" t="s">
        <v>123</v>
      </c>
      <c r="B7" s="41" t="s">
        <v>124</v>
      </c>
      <c r="C7" s="42" t="s">
        <v>122</v>
      </c>
      <c r="D7" s="44">
        <v>261.0455365150583</v>
      </c>
    </row>
    <row r="8" spans="1:4" ht="15" customHeight="1" hidden="1">
      <c r="A8" s="40" t="s">
        <v>125</v>
      </c>
      <c r="B8" s="41" t="s">
        <v>126</v>
      </c>
      <c r="C8" s="42" t="s">
        <v>122</v>
      </c>
      <c r="D8" s="44">
        <v>0.664503767227203</v>
      </c>
    </row>
    <row r="9" spans="1:4" ht="15" customHeight="1">
      <c r="A9" s="40">
        <v>3</v>
      </c>
      <c r="B9" s="41" t="s">
        <v>127</v>
      </c>
      <c r="C9" s="42" t="s">
        <v>122</v>
      </c>
      <c r="D9" s="45">
        <f>D10+D11+D24+D25+D26+D28+D32+D37+D40+D46</f>
        <v>74.49690143448946</v>
      </c>
    </row>
    <row r="10" spans="1:4" ht="15" customHeight="1">
      <c r="A10" s="40" t="s">
        <v>128</v>
      </c>
      <c r="B10" s="46" t="s">
        <v>270</v>
      </c>
      <c r="C10" s="42" t="s">
        <v>122</v>
      </c>
      <c r="D10" s="47">
        <f>1409.94888/E13*E11</f>
        <v>57.463419625402224</v>
      </c>
    </row>
    <row r="11" spans="1:5" ht="15" customHeight="1">
      <c r="A11" s="40" t="s">
        <v>136</v>
      </c>
      <c r="B11" s="46" t="s">
        <v>137</v>
      </c>
      <c r="C11" s="42" t="s">
        <v>122</v>
      </c>
      <c r="D11" s="44"/>
      <c r="E11" s="75">
        <v>4.401613</v>
      </c>
    </row>
    <row r="12" spans="1:4" ht="15" customHeight="1">
      <c r="A12" s="40" t="s">
        <v>138</v>
      </c>
      <c r="B12" s="48" t="s">
        <v>139</v>
      </c>
      <c r="C12" s="42" t="s">
        <v>76</v>
      </c>
      <c r="D12" s="50"/>
    </row>
    <row r="13" spans="1:5" ht="15" customHeight="1">
      <c r="A13" s="40" t="s">
        <v>140</v>
      </c>
      <c r="B13" s="48" t="s">
        <v>141</v>
      </c>
      <c r="C13" s="42" t="s">
        <v>142</v>
      </c>
      <c r="D13" s="44"/>
      <c r="E13" s="75">
        <v>108</v>
      </c>
    </row>
    <row r="14" spans="1:4" ht="31.5">
      <c r="A14" s="40" t="s">
        <v>143</v>
      </c>
      <c r="B14" s="51" t="s">
        <v>144</v>
      </c>
      <c r="C14" s="42" t="s">
        <v>122</v>
      </c>
      <c r="D14" s="49"/>
    </row>
    <row r="15" spans="1:4" ht="15.75" hidden="1">
      <c r="A15" s="40" t="s">
        <v>145</v>
      </c>
      <c r="B15" s="52" t="s">
        <v>146</v>
      </c>
      <c r="C15" s="42" t="s">
        <v>147</v>
      </c>
      <c r="D15" s="53">
        <v>0</v>
      </c>
    </row>
    <row r="16" spans="1:4" ht="15.75" hidden="1">
      <c r="A16" s="40" t="s">
        <v>148</v>
      </c>
      <c r="B16" s="54" t="s">
        <v>149</v>
      </c>
      <c r="C16" s="42" t="s">
        <v>147</v>
      </c>
      <c r="D16" s="55"/>
    </row>
    <row r="17" spans="1:4" ht="15.75" hidden="1">
      <c r="A17" s="40" t="s">
        <v>150</v>
      </c>
      <c r="B17" s="54" t="s">
        <v>151</v>
      </c>
      <c r="C17" s="42" t="s">
        <v>147</v>
      </c>
      <c r="D17" s="55"/>
    </row>
    <row r="18" spans="1:4" ht="15.75" hidden="1">
      <c r="A18" s="40" t="s">
        <v>152</v>
      </c>
      <c r="B18" s="54" t="s">
        <v>153</v>
      </c>
      <c r="C18" s="42" t="s">
        <v>147</v>
      </c>
      <c r="D18" s="55"/>
    </row>
    <row r="19" spans="1:4" ht="15.75" hidden="1">
      <c r="A19" s="40" t="s">
        <v>154</v>
      </c>
      <c r="B19" s="54" t="s">
        <v>155</v>
      </c>
      <c r="C19" s="42" t="s">
        <v>147</v>
      </c>
      <c r="D19" s="55"/>
    </row>
    <row r="20" spans="1:4" ht="15.75" hidden="1">
      <c r="A20" s="40" t="s">
        <v>156</v>
      </c>
      <c r="B20" s="54" t="s">
        <v>157</v>
      </c>
      <c r="C20" s="42" t="s">
        <v>147</v>
      </c>
      <c r="D20" s="55"/>
    </row>
    <row r="21" spans="1:4" ht="15.75" hidden="1">
      <c r="A21" s="40" t="s">
        <v>158</v>
      </c>
      <c r="B21" s="56" t="s">
        <v>159</v>
      </c>
      <c r="C21" s="42" t="s">
        <v>147</v>
      </c>
      <c r="D21" s="55"/>
    </row>
    <row r="22" spans="1:4" ht="15.75" hidden="1">
      <c r="A22" s="40" t="s">
        <v>160</v>
      </c>
      <c r="B22" s="54" t="s">
        <v>161</v>
      </c>
      <c r="C22" s="42" t="s">
        <v>147</v>
      </c>
      <c r="D22" s="55"/>
    </row>
    <row r="23" spans="1:4" ht="15.75" hidden="1">
      <c r="A23" s="40" t="s">
        <v>162</v>
      </c>
      <c r="B23" s="54" t="s">
        <v>163</v>
      </c>
      <c r="C23" s="42" t="s">
        <v>147</v>
      </c>
      <c r="D23" s="55"/>
    </row>
    <row r="24" spans="1:6" ht="15.75">
      <c r="A24" s="40" t="s">
        <v>164</v>
      </c>
      <c r="B24" s="46" t="s">
        <v>165</v>
      </c>
      <c r="C24" s="42" t="s">
        <v>122</v>
      </c>
      <c r="D24" s="44">
        <f>101.62167/E13*E11</f>
        <v>4.141659849571389</v>
      </c>
      <c r="F24" s="75">
        <v>16.98</v>
      </c>
    </row>
    <row r="25" spans="1:6" ht="31.5">
      <c r="A25" s="40" t="s">
        <v>166</v>
      </c>
      <c r="B25" s="46" t="s">
        <v>167</v>
      </c>
      <c r="C25" s="42" t="s">
        <v>122</v>
      </c>
      <c r="D25" s="44">
        <f>34.68768/E13*E11</f>
        <v>1.4137198447022221</v>
      </c>
      <c r="F25" s="75">
        <f>F24*E11</f>
        <v>74.73938874000001</v>
      </c>
    </row>
    <row r="26" spans="1:4" ht="15.75">
      <c r="A26" s="40" t="s">
        <v>168</v>
      </c>
      <c r="B26" s="46" t="s">
        <v>169</v>
      </c>
      <c r="C26" s="42" t="s">
        <v>122</v>
      </c>
      <c r="D26" s="44">
        <f>8.61312/E13*E11</f>
        <v>0.35103352743111116</v>
      </c>
    </row>
    <row r="27" spans="1:4" ht="31.5">
      <c r="A27" s="40" t="s">
        <v>170</v>
      </c>
      <c r="B27" s="46" t="s">
        <v>171</v>
      </c>
      <c r="C27" s="42" t="s">
        <v>122</v>
      </c>
      <c r="D27" s="57"/>
    </row>
    <row r="28" spans="1:4" ht="15.75">
      <c r="A28" s="40" t="s">
        <v>172</v>
      </c>
      <c r="B28" s="46" t="s">
        <v>173</v>
      </c>
      <c r="C28" s="42" t="s">
        <v>122</v>
      </c>
      <c r="D28" s="44">
        <f>5.94592/E13*E11</f>
        <v>0.2423299886014815</v>
      </c>
    </row>
    <row r="29" spans="1:4" ht="15.75">
      <c r="A29" s="40" t="s">
        <v>174</v>
      </c>
      <c r="B29" s="48" t="s">
        <v>175</v>
      </c>
      <c r="C29" s="42" t="s">
        <v>122</v>
      </c>
      <c r="D29" s="57"/>
    </row>
    <row r="30" spans="1:4" ht="15.75">
      <c r="A30" s="40" t="s">
        <v>176</v>
      </c>
      <c r="B30" s="48" t="s">
        <v>177</v>
      </c>
      <c r="C30" s="42" t="s">
        <v>122</v>
      </c>
      <c r="D30" s="57"/>
    </row>
    <row r="31" spans="1:4" ht="15.75">
      <c r="A31" s="40" t="s">
        <v>263</v>
      </c>
      <c r="B31" s="48" t="s">
        <v>183</v>
      </c>
      <c r="C31" s="42" t="s">
        <v>122</v>
      </c>
      <c r="D31" s="57">
        <f>D28-D29-D30</f>
        <v>0.2423299886014815</v>
      </c>
    </row>
    <row r="32" spans="1:5" ht="15.75">
      <c r="A32" s="40" t="s">
        <v>178</v>
      </c>
      <c r="B32" s="46" t="s">
        <v>179</v>
      </c>
      <c r="C32" s="42" t="s">
        <v>122</v>
      </c>
      <c r="D32" s="44">
        <f>66.5264/E13*E11</f>
        <v>2.7113283989185186</v>
      </c>
      <c r="E32" s="76"/>
    </row>
    <row r="33" spans="1:4" ht="15.75">
      <c r="A33" s="40" t="s">
        <v>180</v>
      </c>
      <c r="B33" s="48" t="s">
        <v>175</v>
      </c>
      <c r="C33" s="42" t="s">
        <v>122</v>
      </c>
      <c r="D33" s="44">
        <f>48.6042730244572/E13*E11</f>
        <v>1.9809000000000012</v>
      </c>
    </row>
    <row r="34" spans="1:4" ht="15.75">
      <c r="A34" s="40" t="s">
        <v>181</v>
      </c>
      <c r="B34" s="48" t="s">
        <v>177</v>
      </c>
      <c r="C34" s="42" t="s">
        <v>122</v>
      </c>
      <c r="D34" s="44">
        <f>16.6227153545757/E13*E11</f>
        <v>0.6774700000000001</v>
      </c>
    </row>
    <row r="35" spans="1:4" ht="15.75">
      <c r="A35" s="40" t="s">
        <v>182</v>
      </c>
      <c r="B35" s="48" t="s">
        <v>183</v>
      </c>
      <c r="C35" s="42"/>
      <c r="D35" s="44">
        <f>0.193347302454805/E13*E11</f>
        <v>0.007880000000000015</v>
      </c>
    </row>
    <row r="36" spans="1:4" ht="15.75">
      <c r="A36" s="40" t="s">
        <v>184</v>
      </c>
      <c r="B36" s="48" t="s">
        <v>185</v>
      </c>
      <c r="C36" s="42"/>
      <c r="D36" s="44">
        <f>1.10606/E13*E11</f>
        <v>0.04507822291462964</v>
      </c>
    </row>
    <row r="37" spans="1:4" ht="31.5">
      <c r="A37" s="40" t="s">
        <v>186</v>
      </c>
      <c r="B37" s="51" t="s">
        <v>187</v>
      </c>
      <c r="C37" s="42" t="s">
        <v>122</v>
      </c>
      <c r="D37" s="57">
        <f>D38+D39</f>
        <v>8.1734101998625</v>
      </c>
    </row>
    <row r="38" spans="1:4" ht="31.5">
      <c r="A38" s="40" t="s">
        <v>188</v>
      </c>
      <c r="B38" s="52" t="s">
        <v>189</v>
      </c>
      <c r="C38" s="42" t="s">
        <v>122</v>
      </c>
      <c r="D38" s="57"/>
    </row>
    <row r="39" spans="1:4" ht="31.5">
      <c r="A39" s="40" t="s">
        <v>190</v>
      </c>
      <c r="B39" s="52" t="s">
        <v>191</v>
      </c>
      <c r="C39" s="42" t="s">
        <v>122</v>
      </c>
      <c r="D39" s="57">
        <f>200.54655/E13*E11</f>
        <v>8.1734101998625</v>
      </c>
    </row>
    <row r="40" spans="1:4" ht="31.5">
      <c r="A40" s="58" t="s">
        <v>192</v>
      </c>
      <c r="B40" s="51" t="s">
        <v>193</v>
      </c>
      <c r="C40" s="42" t="s">
        <v>122</v>
      </c>
      <c r="D40" s="59">
        <f>D45+D44+D41</f>
        <v>0</v>
      </c>
    </row>
    <row r="41" spans="1:4" ht="15.75">
      <c r="A41" s="58" t="s">
        <v>194</v>
      </c>
      <c r="B41" s="52" t="s">
        <v>195</v>
      </c>
      <c r="C41" s="42" t="s">
        <v>122</v>
      </c>
      <c r="D41" s="44"/>
    </row>
    <row r="42" spans="1:4" ht="31.5">
      <c r="A42" s="58" t="s">
        <v>196</v>
      </c>
      <c r="B42" s="52" t="s">
        <v>197</v>
      </c>
      <c r="C42" s="42" t="s">
        <v>122</v>
      </c>
      <c r="D42" s="49"/>
    </row>
    <row r="43" spans="1:4" ht="15.75">
      <c r="A43" s="58" t="s">
        <v>198</v>
      </c>
      <c r="B43" s="48" t="s">
        <v>199</v>
      </c>
      <c r="C43" s="42" t="s">
        <v>103</v>
      </c>
      <c r="D43" s="60"/>
    </row>
    <row r="44" spans="1:4" ht="31.5">
      <c r="A44" s="58" t="s">
        <v>200</v>
      </c>
      <c r="B44" s="48" t="s">
        <v>201</v>
      </c>
      <c r="C44" s="42" t="s">
        <v>122</v>
      </c>
      <c r="D44" s="44"/>
    </row>
    <row r="45" spans="1:4" ht="15.75">
      <c r="A45" s="58" t="s">
        <v>202</v>
      </c>
      <c r="B45" s="41" t="s">
        <v>203</v>
      </c>
      <c r="C45" s="42" t="s">
        <v>122</v>
      </c>
      <c r="D45" s="44"/>
    </row>
    <row r="46" spans="1:4" ht="47.25">
      <c r="A46" s="58" t="s">
        <v>204</v>
      </c>
      <c r="B46" s="46" t="s">
        <v>205</v>
      </c>
      <c r="C46" s="42" t="s">
        <v>122</v>
      </c>
      <c r="D46" s="57"/>
    </row>
    <row r="47" spans="1:4" ht="15.75">
      <c r="A47" s="61"/>
      <c r="B47" s="62" t="s">
        <v>206</v>
      </c>
      <c r="C47" s="63"/>
      <c r="D47" s="64"/>
    </row>
    <row r="48" spans="1:4" ht="31.5">
      <c r="A48" s="40" t="s">
        <v>207</v>
      </c>
      <c r="B48" s="41" t="s">
        <v>208</v>
      </c>
      <c r="C48" s="42" t="s">
        <v>122</v>
      </c>
      <c r="D48" s="59">
        <f>D6-D9</f>
        <v>0.24248730551055075</v>
      </c>
    </row>
    <row r="49" spans="1:4" ht="15.75">
      <c r="A49" s="40" t="s">
        <v>209</v>
      </c>
      <c r="B49" s="41" t="s">
        <v>210</v>
      </c>
      <c r="C49" s="42" t="s">
        <v>122</v>
      </c>
      <c r="D49" s="57"/>
    </row>
    <row r="50" spans="1:4" ht="47.25">
      <c r="A50" s="40" t="s">
        <v>211</v>
      </c>
      <c r="B50" s="46" t="s">
        <v>212</v>
      </c>
      <c r="C50" s="42" t="s">
        <v>122</v>
      </c>
      <c r="D50" s="49"/>
    </row>
    <row r="51" spans="1:4" ht="15.75">
      <c r="A51" s="40" t="s">
        <v>213</v>
      </c>
      <c r="B51" s="66" t="s">
        <v>272</v>
      </c>
      <c r="C51" s="42" t="s">
        <v>215</v>
      </c>
      <c r="D51" s="69">
        <v>108</v>
      </c>
    </row>
    <row r="52" spans="1:4" ht="31.5">
      <c r="A52" s="40" t="s">
        <v>220</v>
      </c>
      <c r="B52" s="41" t="s">
        <v>273</v>
      </c>
      <c r="C52" s="42" t="s">
        <v>215</v>
      </c>
      <c r="D52" s="69">
        <v>4.401613</v>
      </c>
    </row>
    <row r="53" spans="1:4" ht="15.75">
      <c r="A53" s="40" t="s">
        <v>224</v>
      </c>
      <c r="B53" s="41" t="s">
        <v>274</v>
      </c>
      <c r="C53" s="42" t="s">
        <v>215</v>
      </c>
      <c r="D53" s="69"/>
    </row>
    <row r="54" spans="1:4" ht="31.5">
      <c r="A54" s="40" t="s">
        <v>225</v>
      </c>
      <c r="B54" s="41" t="s">
        <v>275</v>
      </c>
      <c r="C54" s="42" t="s">
        <v>239</v>
      </c>
      <c r="D54" s="69">
        <v>0.05</v>
      </c>
    </row>
    <row r="55" spans="1:4" ht="31.5">
      <c r="A55" s="40" t="s">
        <v>231</v>
      </c>
      <c r="B55" s="41" t="s">
        <v>276</v>
      </c>
      <c r="C55" s="42" t="s">
        <v>239</v>
      </c>
      <c r="D55" s="69"/>
    </row>
    <row r="56" spans="1:4" ht="15.75">
      <c r="A56" s="40" t="s">
        <v>237</v>
      </c>
      <c r="B56" s="41" t="s">
        <v>277</v>
      </c>
      <c r="C56" s="42" t="s">
        <v>242</v>
      </c>
      <c r="D56" s="74"/>
    </row>
    <row r="57" spans="1:4" ht="15.75">
      <c r="A57" s="40" t="s">
        <v>240</v>
      </c>
      <c r="B57" s="41" t="s">
        <v>278</v>
      </c>
      <c r="C57" s="42" t="s">
        <v>242</v>
      </c>
      <c r="D57" s="69"/>
    </row>
    <row r="58" spans="1:4" ht="31.5">
      <c r="A58" s="40" t="s">
        <v>243</v>
      </c>
      <c r="B58" s="41" t="s">
        <v>279</v>
      </c>
      <c r="C58" s="42" t="s">
        <v>280</v>
      </c>
      <c r="D58" s="69"/>
    </row>
    <row r="60" ht="12.75">
      <c r="D60">
        <f>D6/E11</f>
        <v>16.98</v>
      </c>
    </row>
  </sheetData>
  <sheetProtection/>
  <mergeCells count="5">
    <mergeCell ref="A1:D1"/>
    <mergeCell ref="A2:A3"/>
    <mergeCell ref="B2:B3"/>
    <mergeCell ref="C2:C3"/>
    <mergeCell ref="D2:D3"/>
  </mergeCells>
  <dataValidations count="1">
    <dataValidation type="decimal" allowBlank="1" showErrorMessage="1" errorTitle="Ошибка" error="Допускается ввод только неотрицательных чисел!" sqref="D51:D58">
      <formula1>0</formula1>
      <formula2>9.99999999999999E+23</formula2>
    </dataValidation>
  </dataValidations>
  <hyperlinks>
    <hyperlink ref="B47" location="'ХВС показатели (питьевая)'!A1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DarinaEA</cp:lastModifiedBy>
  <dcterms:created xsi:type="dcterms:W3CDTF">1996-10-08T23:32:33Z</dcterms:created>
  <dcterms:modified xsi:type="dcterms:W3CDTF">2013-05-23T11:03:26Z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